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25" windowWidth="7545" windowHeight="2850" tabRatio="698" activeTab="9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" sheetId="9" r:id="rId9"/>
    <sheet name="вер" sheetId="10" r:id="rId10"/>
  </sheets>
  <definedNames>
    <definedName name="_xlnm.Print_Area" localSheetId="3">'бер'!$A$1:$AE$98</definedName>
    <definedName name="_xlnm.Print_Area" localSheetId="4">'квіт'!$A$1:$AE$98</definedName>
    <definedName name="_xlnm.Print_Area" localSheetId="7">'лип'!$A$1:$AE$98</definedName>
    <definedName name="_xlnm.Print_Area" localSheetId="2">'лют'!$A$1:$AE$98</definedName>
    <definedName name="_xlnm.Print_Area" localSheetId="8">'сер'!$A$1:$AE$98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  <definedName name="_xlnm.Print_Area" localSheetId="6">'черв'!$A$1:$AE$98</definedName>
  </definedNames>
  <calcPr fullCalcOnLoad="1"/>
</workbook>
</file>

<file path=xl/sharedStrings.xml><?xml version="1.0" encoding="utf-8"?>
<sst xmlns="http://schemas.openxmlformats.org/spreadsheetml/2006/main" count="1024" uniqueCount="75">
  <si>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</si>
  <si>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</si>
  <si>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</si>
  <si>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</si>
  <si>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</si>
  <si>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</si>
  <si>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</si>
  <si>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</si>
  <si>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</si>
  <si>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</si>
  <si>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</si>
  <si>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</si>
  <si>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</si>
  <si>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</si>
  <si>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</si>
  <si>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</si>
  <si>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</si>
  <si>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</si>
  <si>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</si>
  <si>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</si>
  <si>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</si>
  <si>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</si>
  <si>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</si>
  <si>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</si>
  <si>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</si>
  <si>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</si>
  <si>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</si>
  <si>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</si>
  <si>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</si>
  <si>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</si>
  <si>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</si>
  <si>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</si>
  <si>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</si>
  <si>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</si>
  <si>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</si>
  <si>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</si>
  <si>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</si>
  <si>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</si>
  <si>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</si>
  <si>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</si>
  <si>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</si>
  <si>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</si>
  <si>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</si>
  <si>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</si>
  <si>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</si>
  <si>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</si>
  <si>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</si>
  <si>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</si>
  <si>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</si>
  <si>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</si>
  <si>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</si>
  <si>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</si>
  <si>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</si>
  <si>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</si>
  <si>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</si>
  <si>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</si>
  <si>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</si>
  <si>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</si>
  <si>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</si>
  <si>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</si>
  <si>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</si>
  <si>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</si>
  <si>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</si>
  <si>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</si>
  <si>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</si>
  <si>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</si>
  <si>
    <t>по міському бюджету м.Черкаси у ЧЕРВНІ 2015 р.</t>
  </si>
  <si>
    <t>надійшло доходів/план видатків
 на червень</t>
  </si>
  <si>
    <t>по міському бюджету м.Черкаси у ЛИПНІ 2015 р.</t>
  </si>
  <si>
    <t>надійшло доходів/план видатків
 на липень</t>
  </si>
  <si>
    <t>Природоохоронні заходи (200600, 200700)</t>
  </si>
  <si>
    <t>по міському бюджету м.Черкаси у СЕРПНІ 2015 р.</t>
  </si>
  <si>
    <t>надійшло доходів/план видатків
 на серпень</t>
  </si>
  <si>
    <t>Пільгове перевезення (170102)</t>
  </si>
  <si>
    <t>по міському бюджету м.Черкаси у ВЕРЕСНІ 2015 р.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</si>
</sst>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88" fontId="1" fillId="33" borderId="0" xfId="0" applyNumberFormat="1" applyFont="1" applyFill="1" applyAlignment="1">
      <alignment/>
    </xf>
    <xf numFmtId="188" fontId="11" fillId="33" borderId="0" xfId="0" applyNumberFormat="1" applyFont="1" applyFill="1" applyAlignment="1">
      <alignment/>
    </xf>
    <xf numFmtId="188" fontId="0" fillId="33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33" borderId="10" xfId="0" applyNumberFormat="1" applyFont="1" applyFill="1" applyBorder="1" applyAlignment="1">
      <alignment horizontal="right"/>
    </xf>
    <xf numFmtId="188" fontId="10" fillId="33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33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33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33" borderId="10" xfId="0" applyNumberFormat="1" applyFont="1" applyFill="1" applyBorder="1" applyAlignment="1">
      <alignment horizontal="center" shrinkToFit="1"/>
    </xf>
    <xf numFmtId="188" fontId="13" fillId="33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33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3" fillId="0" borderId="10" xfId="0" applyNumberFormat="1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48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C185"/>
  <sheetViews>
    <sheetView tabSelected="1" zoomScalePageLayoutView="0" workbookViewId="0" topLeftCell="A1">
      <selection activeCell="K80" sqref="K80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</cols>
  <sheetData>
    <row r="1" spans="1:33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</row>
    <row r="2" spans="1:33" ht="22.5" customHeight="1">
      <c r="A2" s="79" t="s">
        <v>74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72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8">
        <v>25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15241.5</v>
      </c>
      <c r="C7" s="73">
        <v>7284.9</v>
      </c>
      <c r="D7" s="46">
        <f>6576.5+8665</f>
        <v>15241.5</v>
      </c>
      <c r="E7" s="47"/>
      <c r="F7" s="47"/>
      <c r="G7" s="47"/>
      <c r="H7" s="75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/>
      <c r="Z7" s="48"/>
      <c r="AA7" s="48"/>
      <c r="AB7" s="48"/>
      <c r="AC7" s="47"/>
      <c r="AD7" s="47"/>
      <c r="AE7" s="73"/>
      <c r="AF7" s="76"/>
      <c r="AG7" s="49"/>
    </row>
    <row r="8" spans="1:55" ht="18" customHeight="1">
      <c r="A8" s="61" t="s">
        <v>37</v>
      </c>
      <c r="B8" s="41">
        <f>SUM(D8:AB8)</f>
        <v>63065.2</v>
      </c>
      <c r="C8" s="41">
        <v>99738.8</v>
      </c>
      <c r="D8" s="44">
        <v>2853.5</v>
      </c>
      <c r="E8" s="56">
        <v>46686.7</v>
      </c>
      <c r="F8" s="56">
        <v>582.5</v>
      </c>
      <c r="G8" s="56">
        <v>684</v>
      </c>
      <c r="H8" s="56">
        <v>4209.5</v>
      </c>
      <c r="I8" s="56">
        <v>4742.6</v>
      </c>
      <c r="J8" s="57">
        <v>2025.1</v>
      </c>
      <c r="K8" s="56">
        <v>1281.3</v>
      </c>
      <c r="L8" s="56"/>
      <c r="M8" s="56"/>
      <c r="N8" s="56"/>
      <c r="O8" s="56"/>
      <c r="P8" s="56"/>
      <c r="Q8" s="56"/>
      <c r="R8" s="56"/>
      <c r="S8" s="58"/>
      <c r="T8" s="58"/>
      <c r="U8" s="56"/>
      <c r="V8" s="56"/>
      <c r="W8" s="56"/>
      <c r="X8" s="57"/>
      <c r="Y8" s="57"/>
      <c r="Z8" s="57"/>
      <c r="AA8" s="57"/>
      <c r="AB8" s="56"/>
      <c r="AC8" s="24"/>
      <c r="AD8" s="24"/>
      <c r="AE8" s="62"/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B10+B15+B24+B33+B47+B52+B54+B61+B62+B71+B72+B87+B75+B80+B82+B81+B69+B88+B89+B90+B70+B40+B91</f>
        <v>94894.50000000003</v>
      </c>
      <c r="C9" s="25">
        <f t="shared" si="0"/>
        <v>33546.49999999999</v>
      </c>
      <c r="D9" s="25">
        <f t="shared" si="0"/>
        <v>3801.6</v>
      </c>
      <c r="E9" s="25">
        <f t="shared" si="0"/>
        <v>1209.5</v>
      </c>
      <c r="F9" s="25">
        <f t="shared" si="0"/>
        <v>365.4</v>
      </c>
      <c r="G9" s="25">
        <f t="shared" si="0"/>
        <v>11063.2</v>
      </c>
      <c r="H9" s="25">
        <f t="shared" si="0"/>
        <v>258.70000000000005</v>
      </c>
      <c r="I9" s="25">
        <f t="shared" si="0"/>
        <v>628.7</v>
      </c>
      <c r="J9" s="25">
        <f t="shared" si="0"/>
        <v>1269.8</v>
      </c>
      <c r="K9" s="25">
        <f t="shared" si="0"/>
        <v>7404.9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/>
      <c r="W9" s="25"/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AF10+AF15+AF24+AF33+AF47+AF52+AF54+AF61+AF62+AF71+AF72+AF75+AF87+AF80+AF82+AF81+AF69+AF88+AF89+AF90+AF70+AF40+AF91</f>
        <v>26001.800000000003</v>
      </c>
      <c r="AG9" s="51">
        <f>AG10+AG15+AG24+AG33+AG47+AG52+AG54+AG61+AG62+AG71+AG72+AG75+AG87+AG80+AG82+AG81+AG69+AG88+AG90+AG89+AG70+AG40+AG91</f>
        <v>102439.20000000001</v>
      </c>
      <c r="AH9" s="50"/>
      <c r="AI9" s="50"/>
    </row>
    <row r="10" spans="1:33" ht="15.75">
      <c r="A10" s="4" t="s">
        <v>4</v>
      </c>
      <c r="B10" s="23">
        <v>4066.6</v>
      </c>
      <c r="C10" s="23">
        <v>2162.5</v>
      </c>
      <c r="D10" s="23">
        <v>59.9</v>
      </c>
      <c r="E10" s="23">
        <v>26.5</v>
      </c>
      <c r="F10" s="23">
        <v>47.5</v>
      </c>
      <c r="G10" s="23">
        <v>9.6</v>
      </c>
      <c r="H10" s="23">
        <v>17.3</v>
      </c>
      <c r="I10" s="23">
        <v>12.8</v>
      </c>
      <c r="J10" s="26">
        <v>35.7</v>
      </c>
      <c r="K10" s="23">
        <v>292.1</v>
      </c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7"/>
      <c r="W10" s="27"/>
      <c r="X10" s="23"/>
      <c r="Y10" s="28"/>
      <c r="Z10" s="27"/>
      <c r="AA10" s="27"/>
      <c r="AB10" s="23"/>
      <c r="AC10" s="23"/>
      <c r="AD10" s="23"/>
      <c r="AE10" s="23"/>
      <c r="AF10" s="23">
        <f aca="true" t="shared" si="1" ref="AF10:AF59">SUM(D10:AD10)</f>
        <v>501.40000000000003</v>
      </c>
      <c r="AG10" s="28">
        <f>B10+C10-AF10</f>
        <v>5727.700000000001</v>
      </c>
    </row>
    <row r="11" spans="1:33" ht="15.75">
      <c r="A11" s="3" t="s">
        <v>5</v>
      </c>
      <c r="B11" s="23">
        <v>3505.7</v>
      </c>
      <c r="C11" s="23">
        <v>462.7</v>
      </c>
      <c r="D11" s="23">
        <v>43.6</v>
      </c>
      <c r="E11" s="23">
        <v>19.9</v>
      </c>
      <c r="F11" s="23">
        <v>12.4</v>
      </c>
      <c r="G11" s="23"/>
      <c r="H11" s="23"/>
      <c r="I11" s="23">
        <v>9.3</v>
      </c>
      <c r="J11" s="27">
        <v>35.7</v>
      </c>
      <c r="K11" s="23">
        <v>222.6</v>
      </c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7"/>
      <c r="W11" s="27"/>
      <c r="X11" s="23"/>
      <c r="Y11" s="27"/>
      <c r="Z11" s="27"/>
      <c r="AA11" s="27"/>
      <c r="AB11" s="23"/>
      <c r="AC11" s="23"/>
      <c r="AD11" s="23"/>
      <c r="AE11" s="23"/>
      <c r="AF11" s="23">
        <f t="shared" si="1"/>
        <v>343.5</v>
      </c>
      <c r="AG11" s="28">
        <f>B11+C11-AF11</f>
        <v>3624.8999999999996</v>
      </c>
    </row>
    <row r="12" spans="1:33" ht="15.75">
      <c r="A12" s="3" t="s">
        <v>2</v>
      </c>
      <c r="B12" s="37">
        <v>64</v>
      </c>
      <c r="C12" s="23">
        <v>365.1</v>
      </c>
      <c r="D12" s="23">
        <v>6.5</v>
      </c>
      <c r="E12" s="23">
        <v>0.3</v>
      </c>
      <c r="F12" s="23">
        <v>4.7</v>
      </c>
      <c r="G12" s="23"/>
      <c r="H12" s="23">
        <v>4.8</v>
      </c>
      <c r="I12" s="23"/>
      <c r="J12" s="27"/>
      <c r="K12" s="23">
        <v>1.2</v>
      </c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7"/>
      <c r="W12" s="27"/>
      <c r="X12" s="23"/>
      <c r="Y12" s="27"/>
      <c r="Z12" s="27"/>
      <c r="AA12" s="27"/>
      <c r="AB12" s="23"/>
      <c r="AC12" s="23"/>
      <c r="AD12" s="23"/>
      <c r="AE12" s="23"/>
      <c r="AF12" s="23">
        <f t="shared" si="1"/>
        <v>17.5</v>
      </c>
      <c r="AG12" s="28">
        <f>B12+C12-AF12</f>
        <v>411.6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>B10-B11-B12-B13</f>
        <v>496.9000000000001</v>
      </c>
      <c r="C14" s="23">
        <v>1334.7</v>
      </c>
      <c r="D14" s="23">
        <f aca="true" t="shared" si="2" ref="D14:Y14">D10-D11-D12-D13</f>
        <v>9.799999999999997</v>
      </c>
      <c r="E14" s="23">
        <f t="shared" si="2"/>
        <v>6.300000000000002</v>
      </c>
      <c r="F14" s="23">
        <f t="shared" si="2"/>
        <v>30.400000000000002</v>
      </c>
      <c r="G14" s="23">
        <f t="shared" si="2"/>
        <v>9.6</v>
      </c>
      <c r="H14" s="23">
        <f t="shared" si="2"/>
        <v>12.5</v>
      </c>
      <c r="I14" s="23">
        <f t="shared" si="2"/>
        <v>3.5</v>
      </c>
      <c r="J14" s="23">
        <f t="shared" si="2"/>
        <v>0</v>
      </c>
      <c r="K14" s="23">
        <f t="shared" si="2"/>
        <v>68.30000000000003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140.40000000000003</v>
      </c>
      <c r="AG14" s="28">
        <f>AG10-AG11-AG12-AG13</f>
        <v>1691.2000000000012</v>
      </c>
    </row>
    <row r="15" spans="1:33" ht="15" customHeight="1">
      <c r="A15" s="4" t="s">
        <v>6</v>
      </c>
      <c r="B15" s="23">
        <v>29180.4</v>
      </c>
      <c r="C15" s="23">
        <v>11580.3</v>
      </c>
      <c r="D15" s="45"/>
      <c r="E15" s="45"/>
      <c r="F15" s="23">
        <v>2.5</v>
      </c>
      <c r="G15" s="23">
        <v>549.6</v>
      </c>
      <c r="H15" s="23"/>
      <c r="I15" s="23"/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7"/>
      <c r="W15" s="27"/>
      <c r="X15" s="23"/>
      <c r="Y15" s="27"/>
      <c r="Z15" s="27"/>
      <c r="AA15" s="27"/>
      <c r="AB15" s="23"/>
      <c r="AC15" s="23"/>
      <c r="AD15" s="23"/>
      <c r="AE15" s="23"/>
      <c r="AF15" s="28">
        <f t="shared" si="1"/>
        <v>552.1</v>
      </c>
      <c r="AG15" s="28">
        <f aca="true" t="shared" si="3" ref="AG15:AG31">B15+C15-AF15</f>
        <v>40208.6</v>
      </c>
    </row>
    <row r="16" spans="1:33" s="71" customFormat="1" ht="15" customHeight="1">
      <c r="A16" s="66" t="s">
        <v>55</v>
      </c>
      <c r="B16" s="67">
        <v>13152.9</v>
      </c>
      <c r="C16" s="67">
        <v>6029.7</v>
      </c>
      <c r="D16" s="68"/>
      <c r="E16" s="68"/>
      <c r="F16" s="67"/>
      <c r="G16" s="67">
        <v>33.9</v>
      </c>
      <c r="H16" s="67"/>
      <c r="I16" s="67"/>
      <c r="J16" s="69"/>
      <c r="K16" s="67"/>
      <c r="L16" s="67"/>
      <c r="M16" s="67"/>
      <c r="N16" s="67"/>
      <c r="O16" s="70"/>
      <c r="P16" s="67"/>
      <c r="Q16" s="70"/>
      <c r="R16" s="67"/>
      <c r="S16" s="69"/>
      <c r="T16" s="69"/>
      <c r="U16" s="69"/>
      <c r="V16" s="69"/>
      <c r="W16" s="69"/>
      <c r="X16" s="67"/>
      <c r="Y16" s="69"/>
      <c r="Z16" s="69"/>
      <c r="AA16" s="69"/>
      <c r="AB16" s="67"/>
      <c r="AC16" s="67"/>
      <c r="AD16" s="67"/>
      <c r="AE16" s="67"/>
      <c r="AF16" s="72">
        <f t="shared" si="1"/>
        <v>33.9</v>
      </c>
      <c r="AG16" s="72">
        <f t="shared" si="3"/>
        <v>19148.699999999997</v>
      </c>
    </row>
    <row r="17" spans="1:34" ht="15.75">
      <c r="A17" s="3" t="s">
        <v>5</v>
      </c>
      <c r="B17" s="23">
        <v>25474.2</v>
      </c>
      <c r="C17" s="23">
        <v>1632.4</v>
      </c>
      <c r="D17" s="23"/>
      <c r="E17" s="23"/>
      <c r="F17" s="23">
        <v>2.5</v>
      </c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7"/>
      <c r="W17" s="27"/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2.5</v>
      </c>
      <c r="AG17" s="28">
        <f t="shared" si="3"/>
        <v>27104.100000000002</v>
      </c>
      <c r="AH17" s="6"/>
    </row>
    <row r="18" spans="1:33" ht="15.75">
      <c r="A18" s="3" t="s">
        <v>3</v>
      </c>
      <c r="B18" s="23">
        <v>10.7</v>
      </c>
      <c r="C18" s="23">
        <v>15.5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7"/>
      <c r="W18" s="27"/>
      <c r="X18" s="23"/>
      <c r="Y18" s="27"/>
      <c r="Z18" s="27"/>
      <c r="AA18" s="27"/>
      <c r="AB18" s="23"/>
      <c r="AC18" s="23"/>
      <c r="AD18" s="23"/>
      <c r="AE18" s="23"/>
      <c r="AF18" s="28">
        <f t="shared" si="1"/>
        <v>0</v>
      </c>
      <c r="AG18" s="28">
        <f t="shared" si="3"/>
        <v>26.2</v>
      </c>
    </row>
    <row r="19" spans="1:33" ht="15.75">
      <c r="A19" s="3" t="s">
        <v>1</v>
      </c>
      <c r="B19" s="23">
        <v>2418.8</v>
      </c>
      <c r="C19" s="23">
        <v>2113</v>
      </c>
      <c r="D19" s="23"/>
      <c r="E19" s="23"/>
      <c r="F19" s="23"/>
      <c r="G19" s="23">
        <v>356.6</v>
      </c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7"/>
      <c r="W19" s="27"/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356.6</v>
      </c>
      <c r="AG19" s="28">
        <f t="shared" si="3"/>
        <v>4175.2</v>
      </c>
    </row>
    <row r="20" spans="1:33" ht="15.75">
      <c r="A20" s="3" t="s">
        <v>2</v>
      </c>
      <c r="B20" s="23">
        <v>1088</v>
      </c>
      <c r="C20" s="23">
        <v>6929.1</v>
      </c>
      <c r="D20" s="23"/>
      <c r="E20" s="23"/>
      <c r="F20" s="23"/>
      <c r="G20" s="23">
        <v>141.4</v>
      </c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7"/>
      <c r="V20" s="27"/>
      <c r="W20" s="27"/>
      <c r="X20" s="23"/>
      <c r="Y20" s="27"/>
      <c r="Z20" s="27"/>
      <c r="AA20" s="27"/>
      <c r="AB20" s="23"/>
      <c r="AC20" s="23"/>
      <c r="AD20" s="23"/>
      <c r="AE20" s="23"/>
      <c r="AF20" s="28">
        <f t="shared" si="1"/>
        <v>141.4</v>
      </c>
      <c r="AG20" s="28">
        <f t="shared" si="3"/>
        <v>7875.700000000001</v>
      </c>
    </row>
    <row r="21" spans="1:33" ht="15.75">
      <c r="A21" s="3" t="s">
        <v>17</v>
      </c>
      <c r="B21" s="23">
        <v>1.2</v>
      </c>
      <c r="C21" s="23">
        <v>51.9</v>
      </c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3"/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0</v>
      </c>
      <c r="AG21" s="28">
        <f t="shared" si="3"/>
        <v>53.1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187.50000000000074</v>
      </c>
      <c r="C23" s="23">
        <f t="shared" si="4"/>
        <v>838.3999999999993</v>
      </c>
      <c r="D23" s="23">
        <f t="shared" si="4"/>
        <v>0</v>
      </c>
      <c r="E23" s="23">
        <f t="shared" si="4"/>
        <v>0</v>
      </c>
      <c r="F23" s="23">
        <f t="shared" si="4"/>
        <v>0</v>
      </c>
      <c r="G23" s="23">
        <f t="shared" si="4"/>
        <v>51.599999999999994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/>
      <c r="W23" s="23"/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51.599999999999994</v>
      </c>
      <c r="AG23" s="28">
        <f t="shared" si="3"/>
        <v>974.3000000000001</v>
      </c>
    </row>
    <row r="24" spans="1:33" ht="15" customHeight="1">
      <c r="A24" s="4" t="s">
        <v>7</v>
      </c>
      <c r="B24" s="23">
        <v>22027.5</v>
      </c>
      <c r="C24" s="23">
        <v>3617.9</v>
      </c>
      <c r="D24" s="23">
        <v>474.1</v>
      </c>
      <c r="E24" s="23">
        <v>7.1</v>
      </c>
      <c r="F24" s="23">
        <v>190.9</v>
      </c>
      <c r="G24" s="23"/>
      <c r="H24" s="23"/>
      <c r="I24" s="23"/>
      <c r="J24" s="27">
        <v>422</v>
      </c>
      <c r="K24" s="23">
        <v>739.7</v>
      </c>
      <c r="L24" s="23"/>
      <c r="M24" s="23"/>
      <c r="N24" s="23"/>
      <c r="O24" s="28"/>
      <c r="P24" s="23"/>
      <c r="Q24" s="28"/>
      <c r="R24" s="28"/>
      <c r="S24" s="27"/>
      <c r="T24" s="27"/>
      <c r="U24" s="27"/>
      <c r="V24" s="27"/>
      <c r="W24" s="27"/>
      <c r="X24" s="23"/>
      <c r="Y24" s="27"/>
      <c r="Z24" s="27"/>
      <c r="AA24" s="27"/>
      <c r="AB24" s="23"/>
      <c r="AC24" s="23"/>
      <c r="AD24" s="23"/>
      <c r="AE24" s="23"/>
      <c r="AF24" s="28">
        <f t="shared" si="1"/>
        <v>1833.8</v>
      </c>
      <c r="AG24" s="28">
        <f t="shared" si="3"/>
        <v>23811.600000000002</v>
      </c>
    </row>
    <row r="25" spans="1:33" s="71" customFormat="1" ht="15" customHeight="1">
      <c r="A25" s="66" t="s">
        <v>56</v>
      </c>
      <c r="B25" s="67">
        <v>17330.1</v>
      </c>
      <c r="C25" s="67">
        <v>1255.2</v>
      </c>
      <c r="D25" s="67">
        <v>474.1</v>
      </c>
      <c r="E25" s="67">
        <v>7.1</v>
      </c>
      <c r="F25" s="67">
        <v>190.9</v>
      </c>
      <c r="G25" s="67"/>
      <c r="H25" s="67"/>
      <c r="I25" s="67"/>
      <c r="J25" s="69">
        <v>384.4</v>
      </c>
      <c r="K25" s="67">
        <v>725.8</v>
      </c>
      <c r="L25" s="67"/>
      <c r="M25" s="67"/>
      <c r="N25" s="67"/>
      <c r="O25" s="70"/>
      <c r="P25" s="67"/>
      <c r="Q25" s="70"/>
      <c r="R25" s="70"/>
      <c r="S25" s="69"/>
      <c r="T25" s="69"/>
      <c r="U25" s="69"/>
      <c r="V25" s="69"/>
      <c r="W25" s="69"/>
      <c r="X25" s="67"/>
      <c r="Y25" s="69"/>
      <c r="Z25" s="69"/>
      <c r="AA25" s="69"/>
      <c r="AB25" s="67"/>
      <c r="AC25" s="67"/>
      <c r="AD25" s="67"/>
      <c r="AE25" s="67"/>
      <c r="AF25" s="72">
        <f t="shared" si="1"/>
        <v>1782.3</v>
      </c>
      <c r="AG25" s="72">
        <f t="shared" si="3"/>
        <v>16803</v>
      </c>
    </row>
    <row r="26" spans="1:34" ht="15.75">
      <c r="A26" s="3" t="s">
        <v>5</v>
      </c>
      <c r="B26" s="23">
        <v>18912.7</v>
      </c>
      <c r="C26" s="23">
        <v>583.1</v>
      </c>
      <c r="D26" s="23">
        <v>451.5</v>
      </c>
      <c r="E26" s="23">
        <v>7.1</v>
      </c>
      <c r="F26" s="23">
        <v>62.1</v>
      </c>
      <c r="G26" s="23"/>
      <c r="H26" s="23"/>
      <c r="I26" s="23"/>
      <c r="J26" s="27">
        <v>35.4</v>
      </c>
      <c r="K26" s="23">
        <v>555.5</v>
      </c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7"/>
      <c r="W26" s="27"/>
      <c r="X26" s="23"/>
      <c r="Y26" s="27"/>
      <c r="Z26" s="27"/>
      <c r="AA26" s="27"/>
      <c r="AB26" s="23"/>
      <c r="AC26" s="23"/>
      <c r="AD26" s="23"/>
      <c r="AE26" s="23"/>
      <c r="AF26" s="28">
        <f t="shared" si="1"/>
        <v>1111.6</v>
      </c>
      <c r="AG26" s="28">
        <f t="shared" si="3"/>
        <v>18384.2</v>
      </c>
      <c r="AH26" s="6"/>
    </row>
    <row r="27" spans="1:33" ht="15.75">
      <c r="A27" s="3" t="s">
        <v>3</v>
      </c>
      <c r="B27" s="23">
        <v>1447.2</v>
      </c>
      <c r="C27" s="23">
        <v>1810.1</v>
      </c>
      <c r="D27" s="23">
        <v>21.9</v>
      </c>
      <c r="E27" s="23"/>
      <c r="F27" s="23">
        <v>63.8</v>
      </c>
      <c r="G27" s="23"/>
      <c r="H27" s="23"/>
      <c r="I27" s="23"/>
      <c r="J27" s="27">
        <v>132.1</v>
      </c>
      <c r="K27" s="23">
        <v>76.2</v>
      </c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7"/>
      <c r="W27" s="27"/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294</v>
      </c>
      <c r="AG27" s="28">
        <f t="shared" si="3"/>
        <v>2963.3</v>
      </c>
    </row>
    <row r="28" spans="1:33" ht="15.75">
      <c r="A28" s="3" t="s">
        <v>1</v>
      </c>
      <c r="B28" s="23">
        <v>276</v>
      </c>
      <c r="C28" s="23">
        <v>17.8</v>
      </c>
      <c r="D28" s="23"/>
      <c r="E28" s="23"/>
      <c r="F28" s="23">
        <v>10.7</v>
      </c>
      <c r="G28" s="23"/>
      <c r="H28" s="23"/>
      <c r="I28" s="23"/>
      <c r="J28" s="27">
        <v>30.1</v>
      </c>
      <c r="K28" s="23">
        <v>34.4</v>
      </c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7"/>
      <c r="W28" s="27"/>
      <c r="X28" s="23"/>
      <c r="Y28" s="27"/>
      <c r="Z28" s="27"/>
      <c r="AA28" s="27"/>
      <c r="AB28" s="23"/>
      <c r="AC28" s="23"/>
      <c r="AD28" s="23"/>
      <c r="AE28" s="23"/>
      <c r="AF28" s="28">
        <f t="shared" si="1"/>
        <v>75.19999999999999</v>
      </c>
      <c r="AG28" s="28">
        <f t="shared" si="3"/>
        <v>218.60000000000002</v>
      </c>
    </row>
    <row r="29" spans="1:33" ht="15.75">
      <c r="A29" s="3" t="s">
        <v>2</v>
      </c>
      <c r="B29" s="23">
        <v>851.3</v>
      </c>
      <c r="C29" s="23">
        <v>343.1</v>
      </c>
      <c r="D29" s="23"/>
      <c r="E29" s="23"/>
      <c r="F29" s="23">
        <v>48.5</v>
      </c>
      <c r="G29" s="23"/>
      <c r="H29" s="23"/>
      <c r="I29" s="23"/>
      <c r="J29" s="27">
        <v>137.8</v>
      </c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7"/>
      <c r="V29" s="27"/>
      <c r="W29" s="27"/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186.3</v>
      </c>
      <c r="AG29" s="28">
        <f t="shared" si="3"/>
        <v>1008.1000000000001</v>
      </c>
    </row>
    <row r="30" spans="1:33" ht="15.75">
      <c r="A30" s="3" t="s">
        <v>17</v>
      </c>
      <c r="B30" s="23">
        <v>133.4</v>
      </c>
      <c r="C30" s="23">
        <v>23</v>
      </c>
      <c r="D30" s="23"/>
      <c r="E30" s="23"/>
      <c r="F30" s="23"/>
      <c r="G30" s="23"/>
      <c r="H30" s="23"/>
      <c r="I30" s="23"/>
      <c r="J30" s="27"/>
      <c r="K30" s="23">
        <v>48.4</v>
      </c>
      <c r="L30" s="23"/>
      <c r="M30" s="23"/>
      <c r="N30" s="23"/>
      <c r="O30" s="28"/>
      <c r="P30" s="23"/>
      <c r="Q30" s="28"/>
      <c r="R30" s="23"/>
      <c r="S30" s="27"/>
      <c r="T30" s="27"/>
      <c r="U30" s="27"/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48.4</v>
      </c>
      <c r="AG30" s="28">
        <f t="shared" si="3"/>
        <v>108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406.8999999999993</v>
      </c>
      <c r="C32" s="23">
        <f t="shared" si="5"/>
        <v>840.8000000000003</v>
      </c>
      <c r="D32" s="23">
        <f t="shared" si="5"/>
        <v>0.7000000000000242</v>
      </c>
      <c r="E32" s="23">
        <f t="shared" si="5"/>
        <v>0</v>
      </c>
      <c r="F32" s="23">
        <f t="shared" si="5"/>
        <v>5.800000000000011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86.60000000000002</v>
      </c>
      <c r="K32" s="23">
        <f t="shared" si="5"/>
        <v>25.200000000000053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/>
      <c r="W32" s="23"/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118.3000000000001</v>
      </c>
      <c r="AG32" s="28">
        <f>AG24-AG26-AG27-AG28-AG29-AG30-AG31</f>
        <v>1129.4000000000012</v>
      </c>
    </row>
    <row r="33" spans="1:33" ht="15" customHeight="1">
      <c r="A33" s="4" t="s">
        <v>8</v>
      </c>
      <c r="B33" s="23">
        <v>166.5</v>
      </c>
      <c r="C33" s="23">
        <v>1257.4</v>
      </c>
      <c r="D33" s="23"/>
      <c r="E33" s="23"/>
      <c r="F33" s="23"/>
      <c r="G33" s="23"/>
      <c r="H33" s="23"/>
      <c r="I33" s="23"/>
      <c r="J33" s="27"/>
      <c r="K33" s="23">
        <v>0.5</v>
      </c>
      <c r="L33" s="23"/>
      <c r="M33" s="23"/>
      <c r="N33" s="23"/>
      <c r="O33" s="28"/>
      <c r="P33" s="23"/>
      <c r="Q33" s="28"/>
      <c r="R33" s="23"/>
      <c r="S33" s="27"/>
      <c r="T33" s="27"/>
      <c r="U33" s="27"/>
      <c r="V33" s="27"/>
      <c r="W33" s="27"/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0.5</v>
      </c>
      <c r="AG33" s="28">
        <f aca="true" t="shared" si="6" ref="AG33:AG38">B33+C33-AF33</f>
        <v>1423.4</v>
      </c>
    </row>
    <row r="34" spans="1:33" ht="15.75">
      <c r="A34" s="3" t="s">
        <v>5</v>
      </c>
      <c r="B34" s="23">
        <v>159.1</v>
      </c>
      <c r="C34" s="23">
        <v>23.9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0</v>
      </c>
      <c r="AG34" s="28">
        <f t="shared" si="6"/>
        <v>183</v>
      </c>
    </row>
    <row r="35" spans="1:33" ht="15.75">
      <c r="A35" s="3" t="s">
        <v>1</v>
      </c>
      <c r="B35" s="23">
        <v>0</v>
      </c>
      <c r="C35" s="23">
        <v>4.3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</v>
      </c>
      <c r="AG35" s="28">
        <f t="shared" si="6"/>
        <v>4.3</v>
      </c>
    </row>
    <row r="36" spans="1:33" ht="15.75">
      <c r="A36" s="3" t="s">
        <v>2</v>
      </c>
      <c r="B36" s="45">
        <v>5.5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0.2</v>
      </c>
      <c r="L36" s="23"/>
      <c r="M36" s="23"/>
      <c r="N36" s="23"/>
      <c r="O36" s="28"/>
      <c r="P36" s="23"/>
      <c r="Q36" s="28"/>
      <c r="R36" s="23"/>
      <c r="S36" s="27"/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0.2</v>
      </c>
      <c r="AG36" s="28">
        <f t="shared" si="6"/>
        <v>54.599999999999994</v>
      </c>
    </row>
    <row r="37" spans="1:33" ht="15.75">
      <c r="A37" s="3" t="s">
        <v>17</v>
      </c>
      <c r="B37" s="23">
        <v>0</v>
      </c>
      <c r="C37" s="23">
        <v>1116.4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0</v>
      </c>
      <c r="AG37" s="28">
        <f t="shared" si="6"/>
        <v>1116.4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1.9000000000000057</v>
      </c>
      <c r="C39" s="23">
        <f t="shared" si="7"/>
        <v>63.49999999999996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/>
      <c r="W39" s="23"/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0.3</v>
      </c>
      <c r="AG39" s="28">
        <f>AG33-AG34-AG36-AG38-AG35-AG37</f>
        <v>65.10000000000014</v>
      </c>
    </row>
    <row r="40" spans="1:33" ht="15" customHeight="1">
      <c r="A40" s="4" t="s">
        <v>34</v>
      </c>
      <c r="B40" s="23">
        <v>661</v>
      </c>
      <c r="C40" s="23">
        <v>111.2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8"/>
      <c r="S40" s="27"/>
      <c r="T40" s="27"/>
      <c r="U40" s="27"/>
      <c r="V40" s="27"/>
      <c r="W40" s="27"/>
      <c r="X40" s="23"/>
      <c r="Y40" s="27"/>
      <c r="Z40" s="27"/>
      <c r="AA40" s="27"/>
      <c r="AB40" s="23"/>
      <c r="AC40" s="23"/>
      <c r="AD40" s="23"/>
      <c r="AE40" s="23"/>
      <c r="AF40" s="28"/>
      <c r="AG40" s="28">
        <f aca="true" t="shared" si="8" ref="AG40:AG45">B40+C40-AF40</f>
        <v>772.2</v>
      </c>
    </row>
    <row r="41" spans="1:34" ht="15.75">
      <c r="A41" s="3" t="s">
        <v>5</v>
      </c>
      <c r="B41" s="23">
        <v>626</v>
      </c>
      <c r="C41" s="23">
        <v>62.5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7"/>
      <c r="W41" s="27"/>
      <c r="X41" s="23"/>
      <c r="Y41" s="27"/>
      <c r="Z41" s="27"/>
      <c r="AA41" s="27"/>
      <c r="AB41" s="23"/>
      <c r="AC41" s="23"/>
      <c r="AD41" s="23"/>
      <c r="AE41" s="23"/>
      <c r="AF41" s="28"/>
      <c r="AG41" s="28">
        <f t="shared" si="8"/>
        <v>688.5</v>
      </c>
      <c r="AH41" s="6"/>
    </row>
    <row r="42" spans="1:33" ht="15.75">
      <c r="A42" s="3" t="s">
        <v>3</v>
      </c>
      <c r="B42" s="23">
        <v>0</v>
      </c>
      <c r="C42" s="23">
        <v>0.3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/>
      <c r="AG42" s="28">
        <f t="shared" si="8"/>
        <v>0.3</v>
      </c>
    </row>
    <row r="43" spans="1:33" ht="15.75">
      <c r="A43" s="3" t="s">
        <v>1</v>
      </c>
      <c r="B43" s="23">
        <v>2.1</v>
      </c>
      <c r="C43" s="23">
        <v>5.7</v>
      </c>
      <c r="D43" s="23"/>
      <c r="E43" s="23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/>
      <c r="AG43" s="28">
        <f t="shared" si="8"/>
        <v>7.800000000000001</v>
      </c>
    </row>
    <row r="44" spans="1:33" ht="15.75">
      <c r="A44" s="3" t="s">
        <v>2</v>
      </c>
      <c r="B44" s="23">
        <v>5.1</v>
      </c>
      <c r="C44" s="23">
        <v>11.6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/>
      <c r="Q44" s="28"/>
      <c r="R44" s="23"/>
      <c r="S44" s="27"/>
      <c r="T44" s="27"/>
      <c r="U44" s="27"/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/>
      <c r="AG44" s="28">
        <f t="shared" si="8"/>
        <v>16.7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1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9" ref="B46:AD46">B40-B41-B42-B43-B44-B45</f>
        <v>27.799999999999997</v>
      </c>
      <c r="C46" s="23">
        <f t="shared" si="9"/>
        <v>31.1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0</v>
      </c>
      <c r="K46" s="23">
        <f t="shared" si="9"/>
        <v>0</v>
      </c>
      <c r="L46" s="23">
        <f t="shared" si="9"/>
        <v>0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0</v>
      </c>
      <c r="T46" s="23">
        <f t="shared" si="9"/>
        <v>0</v>
      </c>
      <c r="U46" s="23">
        <f t="shared" si="9"/>
        <v>0</v>
      </c>
      <c r="V46" s="23"/>
      <c r="W46" s="23"/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>
        <f t="shared" si="9"/>
        <v>0</v>
      </c>
      <c r="AD46" s="23">
        <f t="shared" si="9"/>
        <v>0</v>
      </c>
      <c r="AE46" s="23"/>
      <c r="AF46" s="28">
        <f t="shared" si="1"/>
        <v>0</v>
      </c>
      <c r="AG46" s="28">
        <f>AG40-AG41-AG42-AG43-AG44-AG45</f>
        <v>58.90000000000005</v>
      </c>
    </row>
    <row r="47" spans="1:33" ht="17.25" customHeight="1">
      <c r="A47" s="4" t="s">
        <v>15</v>
      </c>
      <c r="B47" s="37">
        <v>965.7</v>
      </c>
      <c r="C47" s="23">
        <v>2315.8</v>
      </c>
      <c r="D47" s="23"/>
      <c r="E47" s="29">
        <v>0.7</v>
      </c>
      <c r="F47" s="29"/>
      <c r="G47" s="29">
        <v>29.3</v>
      </c>
      <c r="H47" s="29"/>
      <c r="I47" s="29">
        <v>117.3</v>
      </c>
      <c r="J47" s="30">
        <v>610</v>
      </c>
      <c r="K47" s="29">
        <v>63.6</v>
      </c>
      <c r="L47" s="29"/>
      <c r="M47" s="29"/>
      <c r="N47" s="29"/>
      <c r="O47" s="32"/>
      <c r="P47" s="29"/>
      <c r="Q47" s="29"/>
      <c r="R47" s="29"/>
      <c r="S47" s="30"/>
      <c r="T47" s="30"/>
      <c r="U47" s="29"/>
      <c r="V47" s="29"/>
      <c r="W47" s="29"/>
      <c r="X47" s="29"/>
      <c r="Y47" s="30"/>
      <c r="Z47" s="30"/>
      <c r="AA47" s="30"/>
      <c r="AB47" s="29"/>
      <c r="AC47" s="29"/>
      <c r="AD47" s="29"/>
      <c r="AE47" s="29"/>
      <c r="AF47" s="28">
        <f t="shared" si="1"/>
        <v>820.9</v>
      </c>
      <c r="AG47" s="28">
        <f>B47+C47-AF47</f>
        <v>2460.6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1"/>
        <v>0</v>
      </c>
      <c r="AG48" s="28">
        <f>B48+C48-AF48</f>
        <v>0</v>
      </c>
    </row>
    <row r="49" spans="1:33" ht="15.75">
      <c r="A49" s="3" t="s">
        <v>17</v>
      </c>
      <c r="B49" s="23">
        <v>602.2</v>
      </c>
      <c r="C49" s="23">
        <v>2077.7</v>
      </c>
      <c r="D49" s="23"/>
      <c r="E49" s="23"/>
      <c r="F49" s="23"/>
      <c r="G49" s="23"/>
      <c r="H49" s="23"/>
      <c r="I49" s="23">
        <v>116.9</v>
      </c>
      <c r="J49" s="27">
        <v>610</v>
      </c>
      <c r="K49" s="23">
        <v>63.4</v>
      </c>
      <c r="L49" s="23"/>
      <c r="M49" s="23"/>
      <c r="N49" s="23"/>
      <c r="O49" s="28"/>
      <c r="P49" s="23"/>
      <c r="Q49" s="23"/>
      <c r="R49" s="23"/>
      <c r="S49" s="27"/>
      <c r="T49" s="27"/>
      <c r="U49" s="23"/>
      <c r="V49" s="23"/>
      <c r="W49" s="23"/>
      <c r="X49" s="23"/>
      <c r="Y49" s="27"/>
      <c r="Z49" s="27"/>
      <c r="AA49" s="27"/>
      <c r="AB49" s="23"/>
      <c r="AC49" s="23"/>
      <c r="AD49" s="23"/>
      <c r="AE49" s="23"/>
      <c r="AF49" s="28">
        <f t="shared" si="1"/>
        <v>790.3</v>
      </c>
      <c r="AG49" s="28">
        <f>B49+C49-AF49</f>
        <v>1889.5999999999997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1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0" ref="B51:AD51">B47-B48-B49</f>
        <v>363.5</v>
      </c>
      <c r="C51" s="23">
        <f t="shared" si="10"/>
        <v>238.10000000000036</v>
      </c>
      <c r="D51" s="23">
        <f t="shared" si="10"/>
        <v>0</v>
      </c>
      <c r="E51" s="23">
        <f t="shared" si="10"/>
        <v>0.7</v>
      </c>
      <c r="F51" s="23">
        <f t="shared" si="10"/>
        <v>0</v>
      </c>
      <c r="G51" s="23">
        <f t="shared" si="10"/>
        <v>29.3</v>
      </c>
      <c r="H51" s="23">
        <f t="shared" si="10"/>
        <v>0</v>
      </c>
      <c r="I51" s="23">
        <f t="shared" si="10"/>
        <v>0.3999999999999915</v>
      </c>
      <c r="J51" s="23">
        <f t="shared" si="10"/>
        <v>0</v>
      </c>
      <c r="K51" s="23">
        <f t="shared" si="10"/>
        <v>0.20000000000000284</v>
      </c>
      <c r="L51" s="23">
        <f t="shared" si="10"/>
        <v>0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</v>
      </c>
      <c r="R51" s="23">
        <f t="shared" si="10"/>
        <v>0</v>
      </c>
      <c r="S51" s="23">
        <f t="shared" si="10"/>
        <v>0</v>
      </c>
      <c r="T51" s="23">
        <f t="shared" si="10"/>
        <v>0</v>
      </c>
      <c r="U51" s="23">
        <f t="shared" si="10"/>
        <v>0</v>
      </c>
      <c r="V51" s="23"/>
      <c r="W51" s="23"/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>
        <f t="shared" si="10"/>
        <v>0</v>
      </c>
      <c r="AD51" s="23">
        <f t="shared" si="10"/>
        <v>0</v>
      </c>
      <c r="AE51" s="23"/>
      <c r="AF51" s="28">
        <f t="shared" si="1"/>
        <v>30.599999999999994</v>
      </c>
      <c r="AG51" s="28">
        <f>AG47-AG49-AG48</f>
        <v>571.0000000000002</v>
      </c>
    </row>
    <row r="52" spans="1:33" ht="15" customHeight="1">
      <c r="A52" s="4" t="s">
        <v>0</v>
      </c>
      <c r="B52" s="23">
        <v>3985</v>
      </c>
      <c r="C52" s="23">
        <v>2385.3</v>
      </c>
      <c r="D52" s="23">
        <v>3267.6</v>
      </c>
      <c r="E52" s="23"/>
      <c r="F52" s="23"/>
      <c r="G52" s="23">
        <v>252.8</v>
      </c>
      <c r="H52" s="23"/>
      <c r="I52" s="23">
        <v>113.4</v>
      </c>
      <c r="J52" s="27">
        <v>193.1</v>
      </c>
      <c r="K52" s="23"/>
      <c r="L52" s="23"/>
      <c r="M52" s="23"/>
      <c r="N52" s="23"/>
      <c r="O52" s="28"/>
      <c r="P52" s="23"/>
      <c r="Q52" s="23"/>
      <c r="R52" s="23"/>
      <c r="S52" s="27"/>
      <c r="T52" s="27"/>
      <c r="U52" s="27"/>
      <c r="V52" s="27"/>
      <c r="W52" s="27"/>
      <c r="X52" s="23"/>
      <c r="Y52" s="27"/>
      <c r="Z52" s="27"/>
      <c r="AA52" s="27"/>
      <c r="AB52" s="23"/>
      <c r="AC52" s="23"/>
      <c r="AD52" s="23"/>
      <c r="AE52" s="23"/>
      <c r="AF52" s="28">
        <f t="shared" si="1"/>
        <v>3826.9</v>
      </c>
      <c r="AG52" s="28">
        <f aca="true" t="shared" si="11" ref="AG52:AG59">B52+C52-AF52</f>
        <v>2543.4</v>
      </c>
    </row>
    <row r="53" spans="1:33" ht="15" customHeight="1">
      <c r="A53" s="3" t="s">
        <v>2</v>
      </c>
      <c r="B53" s="23">
        <v>414</v>
      </c>
      <c r="C53" s="23">
        <v>620.3</v>
      </c>
      <c r="D53" s="23"/>
      <c r="E53" s="23"/>
      <c r="F53" s="23"/>
      <c r="G53" s="23">
        <v>182.9</v>
      </c>
      <c r="H53" s="23"/>
      <c r="I53" s="23">
        <v>5.3</v>
      </c>
      <c r="J53" s="27"/>
      <c r="K53" s="23"/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1"/>
        <v>188.20000000000002</v>
      </c>
      <c r="AG53" s="28">
        <f t="shared" si="11"/>
        <v>846.0999999999999</v>
      </c>
    </row>
    <row r="54" spans="1:34" ht="15" customHeight="1">
      <c r="A54" s="4" t="s">
        <v>9</v>
      </c>
      <c r="B54" s="45">
        <v>3648.9</v>
      </c>
      <c r="C54" s="23">
        <v>1749.8</v>
      </c>
      <c r="D54" s="23"/>
      <c r="E54" s="23">
        <v>374.9</v>
      </c>
      <c r="F54" s="23">
        <v>65.3</v>
      </c>
      <c r="G54" s="23"/>
      <c r="H54" s="23">
        <v>159.4</v>
      </c>
      <c r="I54" s="23"/>
      <c r="J54" s="27">
        <v>3.4</v>
      </c>
      <c r="K54" s="23">
        <v>1234.5</v>
      </c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7"/>
      <c r="W54" s="27"/>
      <c r="X54" s="23"/>
      <c r="Y54" s="27"/>
      <c r="Z54" s="27"/>
      <c r="AA54" s="27"/>
      <c r="AB54" s="23"/>
      <c r="AC54" s="23"/>
      <c r="AD54" s="23"/>
      <c r="AE54" s="23"/>
      <c r="AF54" s="28">
        <f t="shared" si="1"/>
        <v>1837.5</v>
      </c>
      <c r="AG54" s="23">
        <f t="shared" si="11"/>
        <v>3561.2</v>
      </c>
      <c r="AH54" s="6"/>
    </row>
    <row r="55" spans="1:34" ht="15.75">
      <c r="A55" s="3" t="s">
        <v>5</v>
      </c>
      <c r="B55" s="23">
        <v>2955.4</v>
      </c>
      <c r="C55" s="23">
        <v>1015.3</v>
      </c>
      <c r="D55" s="23"/>
      <c r="E55" s="23"/>
      <c r="F55" s="23">
        <v>53.9</v>
      </c>
      <c r="G55" s="23"/>
      <c r="H55" s="23"/>
      <c r="I55" s="23"/>
      <c r="J55" s="27"/>
      <c r="K55" s="23">
        <v>1234.5</v>
      </c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1"/>
        <v>1288.4</v>
      </c>
      <c r="AG55" s="23">
        <f t="shared" si="11"/>
        <v>2682.2999999999997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1"/>
        <v>0</v>
      </c>
      <c r="AG56" s="23">
        <f t="shared" si="11"/>
        <v>0</v>
      </c>
      <c r="AH56" s="6"/>
    </row>
    <row r="57" spans="1:33" ht="15.75">
      <c r="A57" s="3" t="s">
        <v>2</v>
      </c>
      <c r="B57" s="37">
        <v>28</v>
      </c>
      <c r="C57" s="23">
        <v>369.5</v>
      </c>
      <c r="D57" s="23"/>
      <c r="E57" s="23"/>
      <c r="F57" s="23">
        <v>1.7</v>
      </c>
      <c r="G57" s="23"/>
      <c r="H57" s="23">
        <v>0.1</v>
      </c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7"/>
      <c r="W57" s="27"/>
      <c r="X57" s="23"/>
      <c r="Y57" s="27"/>
      <c r="Z57" s="27"/>
      <c r="AA57" s="27"/>
      <c r="AB57" s="23"/>
      <c r="AC57" s="23"/>
      <c r="AD57" s="23"/>
      <c r="AE57" s="23"/>
      <c r="AF57" s="28">
        <f t="shared" si="1"/>
        <v>1.8</v>
      </c>
      <c r="AG57" s="23">
        <f t="shared" si="11"/>
        <v>395.7</v>
      </c>
    </row>
    <row r="58" spans="1:33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1"/>
        <v>0</v>
      </c>
      <c r="AG58" s="23">
        <f t="shared" si="11"/>
        <v>20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1"/>
        <v>0</v>
      </c>
      <c r="AG59" s="23">
        <f t="shared" si="11"/>
        <v>0</v>
      </c>
    </row>
    <row r="60" spans="1:33" ht="15.75">
      <c r="A60" s="3" t="s">
        <v>26</v>
      </c>
      <c r="B60" s="23">
        <f aca="true" t="shared" si="12" ref="B60:AD60">B54-B55-B57-B59-B56-B58</f>
        <v>665.5</v>
      </c>
      <c r="C60" s="23">
        <f t="shared" si="12"/>
        <v>345</v>
      </c>
      <c r="D60" s="23">
        <f t="shared" si="12"/>
        <v>0</v>
      </c>
      <c r="E60" s="23">
        <f t="shared" si="12"/>
        <v>374.9</v>
      </c>
      <c r="F60" s="23">
        <f t="shared" si="12"/>
        <v>9.7</v>
      </c>
      <c r="G60" s="23">
        <f t="shared" si="12"/>
        <v>0</v>
      </c>
      <c r="H60" s="23">
        <f t="shared" si="12"/>
        <v>159.3</v>
      </c>
      <c r="I60" s="23">
        <f t="shared" si="12"/>
        <v>0</v>
      </c>
      <c r="J60" s="23">
        <f t="shared" si="12"/>
        <v>3.4</v>
      </c>
      <c r="K60" s="23">
        <f t="shared" si="12"/>
        <v>0</v>
      </c>
      <c r="L60" s="23">
        <f t="shared" si="12"/>
        <v>0</v>
      </c>
      <c r="M60" s="23">
        <f t="shared" si="12"/>
        <v>0</v>
      </c>
      <c r="N60" s="23">
        <f t="shared" si="12"/>
        <v>0</v>
      </c>
      <c r="O60" s="23">
        <f t="shared" si="12"/>
        <v>0</v>
      </c>
      <c r="P60" s="23">
        <f t="shared" si="12"/>
        <v>0</v>
      </c>
      <c r="Q60" s="23">
        <f t="shared" si="12"/>
        <v>0</v>
      </c>
      <c r="R60" s="23">
        <f t="shared" si="12"/>
        <v>0</v>
      </c>
      <c r="S60" s="23">
        <f t="shared" si="12"/>
        <v>0</v>
      </c>
      <c r="T60" s="23">
        <f t="shared" si="12"/>
        <v>0</v>
      </c>
      <c r="U60" s="23">
        <f t="shared" si="12"/>
        <v>0</v>
      </c>
      <c r="V60" s="23"/>
      <c r="W60" s="23"/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>
        <f t="shared" si="12"/>
        <v>0</v>
      </c>
      <c r="AD60" s="23">
        <f t="shared" si="12"/>
        <v>0</v>
      </c>
      <c r="AE60" s="23"/>
      <c r="AF60" s="23">
        <f>AF54-AF55-AF57-AF59-AF56-AF58</f>
        <v>547.3</v>
      </c>
      <c r="AG60" s="23">
        <f>AG54-AG55-AG57-AG59-AG56-AG58</f>
        <v>463.2000000000001</v>
      </c>
    </row>
    <row r="61" spans="1:33" ht="15" customHeight="1">
      <c r="A61" s="4" t="s">
        <v>10</v>
      </c>
      <c r="B61" s="23">
        <v>63.8</v>
      </c>
      <c r="C61" s="23">
        <v>39.7</v>
      </c>
      <c r="D61" s="23"/>
      <c r="E61" s="23"/>
      <c r="F61" s="23"/>
      <c r="G61" s="23"/>
      <c r="H61" s="23"/>
      <c r="I61" s="23"/>
      <c r="J61" s="27"/>
      <c r="K61" s="23">
        <v>4.7</v>
      </c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7"/>
      <c r="W61" s="27"/>
      <c r="X61" s="23"/>
      <c r="Y61" s="27"/>
      <c r="Z61" s="27"/>
      <c r="AA61" s="27"/>
      <c r="AB61" s="23"/>
      <c r="AC61" s="23"/>
      <c r="AD61" s="23"/>
      <c r="AE61" s="23"/>
      <c r="AF61" s="28">
        <f aca="true" t="shared" si="13" ref="AF61:AF91">SUM(D61:AD61)</f>
        <v>4.7</v>
      </c>
      <c r="AG61" s="23">
        <f aca="true" t="shared" si="14" ref="AG61:AG67">B61+C61-AF61</f>
        <v>98.8</v>
      </c>
    </row>
    <row r="62" spans="1:33" ht="15" customHeight="1">
      <c r="A62" s="4" t="s">
        <v>11</v>
      </c>
      <c r="B62" s="23">
        <v>1228</v>
      </c>
      <c r="C62" s="23">
        <v>719.2</v>
      </c>
      <c r="D62" s="23"/>
      <c r="E62" s="23"/>
      <c r="F62" s="23"/>
      <c r="G62" s="23">
        <v>4.1</v>
      </c>
      <c r="H62" s="23"/>
      <c r="I62" s="23"/>
      <c r="J62" s="27"/>
      <c r="K62" s="23">
        <v>9.7</v>
      </c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7"/>
      <c r="W62" s="27"/>
      <c r="X62" s="23"/>
      <c r="Y62" s="27"/>
      <c r="Z62" s="27"/>
      <c r="AA62" s="27"/>
      <c r="AB62" s="23"/>
      <c r="AC62" s="23"/>
      <c r="AD62" s="23"/>
      <c r="AE62" s="23"/>
      <c r="AF62" s="28">
        <f t="shared" si="13"/>
        <v>13.799999999999999</v>
      </c>
      <c r="AG62" s="23">
        <f t="shared" si="14"/>
        <v>1933.4</v>
      </c>
    </row>
    <row r="63" spans="1:34" ht="15.75">
      <c r="A63" s="3" t="s">
        <v>5</v>
      </c>
      <c r="B63" s="23">
        <v>852.1</v>
      </c>
      <c r="C63" s="23">
        <v>51.8</v>
      </c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7"/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3"/>
        <v>0</v>
      </c>
      <c r="AG63" s="23">
        <f t="shared" si="14"/>
        <v>903.9</v>
      </c>
      <c r="AH63" s="65"/>
    </row>
    <row r="64" spans="1:34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7"/>
      <c r="W64" s="27"/>
      <c r="X64" s="23"/>
      <c r="Y64" s="27"/>
      <c r="Z64" s="27"/>
      <c r="AA64" s="27"/>
      <c r="AB64" s="23"/>
      <c r="AC64" s="23"/>
      <c r="AD64" s="23"/>
      <c r="AE64" s="23"/>
      <c r="AF64" s="28">
        <f t="shared" si="13"/>
        <v>0</v>
      </c>
      <c r="AG64" s="23">
        <f t="shared" si="14"/>
        <v>0</v>
      </c>
      <c r="AH64" s="6"/>
    </row>
    <row r="65" spans="1:34" ht="15.75">
      <c r="A65" s="3" t="s">
        <v>1</v>
      </c>
      <c r="B65" s="23">
        <v>26</v>
      </c>
      <c r="C65" s="23">
        <v>32.9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/>
      <c r="T65" s="27"/>
      <c r="U65" s="27"/>
      <c r="V65" s="27"/>
      <c r="W65" s="27"/>
      <c r="X65" s="23"/>
      <c r="Y65" s="27"/>
      <c r="Z65" s="27"/>
      <c r="AA65" s="27"/>
      <c r="AB65" s="23"/>
      <c r="AC65" s="23"/>
      <c r="AD65" s="23"/>
      <c r="AE65" s="23"/>
      <c r="AF65" s="28">
        <f t="shared" si="13"/>
        <v>0</v>
      </c>
      <c r="AG65" s="23">
        <f t="shared" si="14"/>
        <v>58.9</v>
      </c>
      <c r="AH65" s="6"/>
    </row>
    <row r="66" spans="1:33" ht="15.75">
      <c r="A66" s="3" t="s">
        <v>2</v>
      </c>
      <c r="B66" s="23">
        <v>13.1</v>
      </c>
      <c r="C66" s="23">
        <v>15.7</v>
      </c>
      <c r="D66" s="23"/>
      <c r="E66" s="23"/>
      <c r="F66" s="23"/>
      <c r="G66" s="23"/>
      <c r="H66" s="23"/>
      <c r="I66" s="23"/>
      <c r="J66" s="27"/>
      <c r="K66" s="23">
        <v>0.8</v>
      </c>
      <c r="L66" s="23"/>
      <c r="M66" s="23"/>
      <c r="N66" s="23"/>
      <c r="O66" s="28"/>
      <c r="P66" s="23"/>
      <c r="Q66" s="23"/>
      <c r="R66" s="23"/>
      <c r="S66" s="27"/>
      <c r="T66" s="27"/>
      <c r="U66" s="27"/>
      <c r="V66" s="27"/>
      <c r="W66" s="27"/>
      <c r="X66" s="23"/>
      <c r="Y66" s="27"/>
      <c r="Z66" s="27"/>
      <c r="AA66" s="27"/>
      <c r="AB66" s="23"/>
      <c r="AC66" s="23"/>
      <c r="AD66" s="23"/>
      <c r="AE66" s="23"/>
      <c r="AF66" s="28">
        <f t="shared" si="13"/>
        <v>0.8</v>
      </c>
      <c r="AG66" s="23">
        <f t="shared" si="14"/>
        <v>27.999999999999996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3"/>
        <v>0</v>
      </c>
      <c r="AG67" s="23">
        <f t="shared" si="14"/>
        <v>0</v>
      </c>
    </row>
    <row r="68" spans="1:33" ht="15.75">
      <c r="A68" s="3" t="s">
        <v>26</v>
      </c>
      <c r="B68" s="23">
        <f aca="true" t="shared" si="15" ref="B68:AD68">B62-B63-B66-B67-B65-B64</f>
        <v>336.79999999999995</v>
      </c>
      <c r="C68" s="23">
        <f t="shared" si="15"/>
        <v>618.8000000000001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4.1</v>
      </c>
      <c r="H68" s="23">
        <f t="shared" si="15"/>
        <v>0</v>
      </c>
      <c r="I68" s="23">
        <f t="shared" si="15"/>
        <v>0</v>
      </c>
      <c r="J68" s="23">
        <f t="shared" si="15"/>
        <v>0</v>
      </c>
      <c r="K68" s="23">
        <f t="shared" si="15"/>
        <v>8.899999999999999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0</v>
      </c>
      <c r="Q68" s="23">
        <f t="shared" si="15"/>
        <v>0</v>
      </c>
      <c r="R68" s="23">
        <f t="shared" si="15"/>
        <v>0</v>
      </c>
      <c r="S68" s="23">
        <f t="shared" si="15"/>
        <v>0</v>
      </c>
      <c r="T68" s="23">
        <f t="shared" si="15"/>
        <v>0</v>
      </c>
      <c r="U68" s="23">
        <f t="shared" si="15"/>
        <v>0</v>
      </c>
      <c r="V68" s="23"/>
      <c r="W68" s="23"/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>
        <f t="shared" si="15"/>
        <v>0</v>
      </c>
      <c r="AD68" s="23">
        <f t="shared" si="15"/>
        <v>0</v>
      </c>
      <c r="AE68" s="23"/>
      <c r="AF68" s="28">
        <f t="shared" si="13"/>
        <v>12.999999999999998</v>
      </c>
      <c r="AG68" s="23">
        <f>AG62-AG63-AG66-AG67-AG65-AG64</f>
        <v>942.6</v>
      </c>
    </row>
    <row r="69" spans="1:33" ht="31.5">
      <c r="A69" s="4" t="s">
        <v>33</v>
      </c>
      <c r="B69" s="23">
        <v>481.8</v>
      </c>
      <c r="C69" s="23">
        <v>300.7</v>
      </c>
      <c r="D69" s="23"/>
      <c r="E69" s="23">
        <v>692.9</v>
      </c>
      <c r="F69" s="23"/>
      <c r="G69" s="23"/>
      <c r="H69" s="23">
        <v>77.6</v>
      </c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3"/>
        <v>770.5</v>
      </c>
      <c r="AG69" s="31">
        <f aca="true" t="shared" si="16" ref="AG69:AG91">B69+C69-AF69</f>
        <v>12</v>
      </c>
    </row>
    <row r="70" spans="1:33" ht="15.75">
      <c r="A70" s="4" t="s">
        <v>42</v>
      </c>
      <c r="B70" s="23">
        <v>5.6</v>
      </c>
      <c r="C70" s="23">
        <v>1.1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3"/>
      <c r="W70" s="23"/>
      <c r="X70" s="27"/>
      <c r="Y70" s="27"/>
      <c r="Z70" s="27"/>
      <c r="AA70" s="27"/>
      <c r="AB70" s="23"/>
      <c r="AC70" s="23"/>
      <c r="AD70" s="23"/>
      <c r="AE70" s="23"/>
      <c r="AF70" s="28">
        <f t="shared" si="13"/>
        <v>0</v>
      </c>
      <c r="AG70" s="31">
        <f t="shared" si="16"/>
        <v>6.699999999999999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3"/>
        <v>0</v>
      </c>
      <c r="AG71" s="31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v>984.1</v>
      </c>
      <c r="C72" s="23">
        <v>2452.8</v>
      </c>
      <c r="D72" s="23"/>
      <c r="E72" s="23">
        <v>107.4</v>
      </c>
      <c r="F72" s="23">
        <v>59.2</v>
      </c>
      <c r="G72" s="23">
        <v>66.9</v>
      </c>
      <c r="H72" s="23">
        <v>4.4</v>
      </c>
      <c r="I72" s="23">
        <v>15</v>
      </c>
      <c r="J72" s="27">
        <v>5.6</v>
      </c>
      <c r="K72" s="23">
        <v>12.4</v>
      </c>
      <c r="L72" s="23"/>
      <c r="M72" s="23"/>
      <c r="N72" s="23"/>
      <c r="O72" s="23"/>
      <c r="P72" s="23"/>
      <c r="Q72" s="28"/>
      <c r="R72" s="23"/>
      <c r="S72" s="27"/>
      <c r="T72" s="27"/>
      <c r="U72" s="27"/>
      <c r="V72" s="27"/>
      <c r="W72" s="27"/>
      <c r="X72" s="23"/>
      <c r="Y72" s="27"/>
      <c r="Z72" s="27"/>
      <c r="AA72" s="27"/>
      <c r="AB72" s="23"/>
      <c r="AC72" s="23"/>
      <c r="AD72" s="23"/>
      <c r="AE72" s="23"/>
      <c r="AF72" s="28">
        <f t="shared" si="13"/>
        <v>270.90000000000003</v>
      </c>
      <c r="AG72" s="31">
        <f t="shared" si="16"/>
        <v>3166</v>
      </c>
    </row>
    <row r="73" spans="1:33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7"/>
      <c r="W73" s="27"/>
      <c r="X73" s="23"/>
      <c r="Y73" s="27"/>
      <c r="Z73" s="27"/>
      <c r="AA73" s="27"/>
      <c r="AB73" s="23"/>
      <c r="AC73" s="23"/>
      <c r="AD73" s="23"/>
      <c r="AE73" s="23"/>
      <c r="AF73" s="28">
        <f t="shared" si="13"/>
        <v>0</v>
      </c>
      <c r="AG73" s="31">
        <f t="shared" si="16"/>
        <v>16.8</v>
      </c>
    </row>
    <row r="74" spans="1:33" ht="15" customHeight="1">
      <c r="A74" s="3" t="s">
        <v>2</v>
      </c>
      <c r="B74" s="23">
        <v>23.1</v>
      </c>
      <c r="C74" s="23">
        <v>91.2</v>
      </c>
      <c r="D74" s="23"/>
      <c r="E74" s="23"/>
      <c r="F74" s="23"/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3"/>
        <v>0</v>
      </c>
      <c r="AG74" s="31">
        <f t="shared" si="16"/>
        <v>114.30000000000001</v>
      </c>
    </row>
    <row r="75" spans="1:33" s="11" customFormat="1" ht="31.5">
      <c r="A75" s="12" t="s">
        <v>21</v>
      </c>
      <c r="B75" s="23">
        <f>82.6</f>
        <v>82.6</v>
      </c>
      <c r="C75" s="23">
        <v>445.7</v>
      </c>
      <c r="D75" s="23"/>
      <c r="E75" s="29"/>
      <c r="F75" s="29"/>
      <c r="G75" s="29"/>
      <c r="H75" s="29"/>
      <c r="I75" s="29"/>
      <c r="J75" s="30"/>
      <c r="K75" s="29">
        <v>47.7</v>
      </c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29"/>
      <c r="W75" s="29"/>
      <c r="X75" s="30"/>
      <c r="Y75" s="30"/>
      <c r="Z75" s="30"/>
      <c r="AA75" s="30"/>
      <c r="AB75" s="29"/>
      <c r="AC75" s="29"/>
      <c r="AD75" s="29"/>
      <c r="AE75" s="29"/>
      <c r="AF75" s="28">
        <f t="shared" si="13"/>
        <v>47.7</v>
      </c>
      <c r="AG75" s="31">
        <f t="shared" si="16"/>
        <v>480.59999999999997</v>
      </c>
    </row>
    <row r="76" spans="1:33" s="11" customFormat="1" ht="15.75">
      <c r="A76" s="3" t="s">
        <v>5</v>
      </c>
      <c r="B76" s="23">
        <v>73.3</v>
      </c>
      <c r="C76" s="23">
        <v>0</v>
      </c>
      <c r="D76" s="23"/>
      <c r="E76" s="29"/>
      <c r="F76" s="29"/>
      <c r="G76" s="29"/>
      <c r="H76" s="29"/>
      <c r="I76" s="29"/>
      <c r="J76" s="30"/>
      <c r="K76" s="29">
        <v>43.2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29"/>
      <c r="W76" s="29"/>
      <c r="X76" s="30"/>
      <c r="Y76" s="30"/>
      <c r="Z76" s="30"/>
      <c r="AA76" s="30"/>
      <c r="AB76" s="29"/>
      <c r="AC76" s="29"/>
      <c r="AD76" s="29"/>
      <c r="AE76" s="29"/>
      <c r="AF76" s="28">
        <f t="shared" si="13"/>
        <v>43.2</v>
      </c>
      <c r="AG76" s="31">
        <f t="shared" si="16"/>
        <v>30.099999999999994</v>
      </c>
    </row>
    <row r="77" spans="1:33" s="11" customFormat="1" ht="15.75">
      <c r="A77" s="3" t="s">
        <v>3</v>
      </c>
      <c r="B77" s="23">
        <v>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29"/>
      <c r="W77" s="29"/>
      <c r="X77" s="30"/>
      <c r="Y77" s="30"/>
      <c r="Z77" s="30"/>
      <c r="AA77" s="30"/>
      <c r="AB77" s="29"/>
      <c r="AC77" s="29"/>
      <c r="AD77" s="29"/>
      <c r="AE77" s="29"/>
      <c r="AF77" s="28">
        <f t="shared" si="13"/>
        <v>0</v>
      </c>
      <c r="AG77" s="31">
        <f t="shared" si="16"/>
        <v>0</v>
      </c>
    </row>
    <row r="78" spans="1:33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3"/>
        <v>0</v>
      </c>
      <c r="AG78" s="31">
        <f t="shared" si="16"/>
        <v>0</v>
      </c>
    </row>
    <row r="79" spans="1:33" s="11" customFormat="1" ht="15.75">
      <c r="A79" s="3" t="s">
        <v>2</v>
      </c>
      <c r="B79" s="23">
        <v>0.3</v>
      </c>
      <c r="C79" s="23">
        <v>0.2</v>
      </c>
      <c r="D79" s="23"/>
      <c r="E79" s="29"/>
      <c r="F79" s="29"/>
      <c r="G79" s="29"/>
      <c r="H79" s="29"/>
      <c r="I79" s="29"/>
      <c r="J79" s="30"/>
      <c r="K79" s="29">
        <v>0.3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3"/>
        <v>0.3</v>
      </c>
      <c r="AG79" s="31">
        <f t="shared" si="16"/>
        <v>0.2</v>
      </c>
    </row>
    <row r="80" spans="1:33" s="11" customFormat="1" ht="15.75">
      <c r="A80" s="12" t="s">
        <v>41</v>
      </c>
      <c r="B80" s="23"/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3"/>
        <v>0</v>
      </c>
      <c r="AG80" s="31">
        <f t="shared" si="16"/>
        <v>0</v>
      </c>
    </row>
    <row r="81" spans="1:33" s="11" customFormat="1" ht="15.75">
      <c r="A81" s="12" t="s">
        <v>73</v>
      </c>
      <c r="B81" s="23">
        <v>0</v>
      </c>
      <c r="C81" s="29">
        <v>427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3"/>
        <v>0</v>
      </c>
      <c r="AG81" s="31">
        <f t="shared" si="16"/>
        <v>427</v>
      </c>
    </row>
    <row r="82" spans="1:33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>
        <f>AC84</f>
        <v>0</v>
      </c>
      <c r="AD82" s="29">
        <f>AD84</f>
        <v>0</v>
      </c>
      <c r="AE82" s="29"/>
      <c r="AF82" s="28">
        <f t="shared" si="13"/>
        <v>0</v>
      </c>
      <c r="AG82" s="23">
        <f t="shared" si="16"/>
        <v>0</v>
      </c>
    </row>
    <row r="83" spans="1:33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29"/>
      <c r="W83" s="29"/>
      <c r="X83" s="30"/>
      <c r="Y83" s="30"/>
      <c r="Z83" s="30"/>
      <c r="AA83" s="30"/>
      <c r="AB83" s="29"/>
      <c r="AC83" s="29"/>
      <c r="AD83" s="29"/>
      <c r="AE83" s="29"/>
      <c r="AF83" s="28">
        <f t="shared" si="13"/>
        <v>0</v>
      </c>
      <c r="AG83" s="23">
        <f t="shared" si="16"/>
        <v>0</v>
      </c>
    </row>
    <row r="84" spans="1:33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3"/>
        <v>0</v>
      </c>
      <c r="AG84" s="23">
        <f t="shared" si="16"/>
        <v>0</v>
      </c>
    </row>
    <row r="85" spans="1:33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3"/>
        <v>0</v>
      </c>
      <c r="AG85" s="23">
        <f t="shared" si="16"/>
        <v>0</v>
      </c>
    </row>
    <row r="86" spans="1:33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3"/>
        <v>0</v>
      </c>
      <c r="AG86" s="23">
        <f t="shared" si="16"/>
        <v>0</v>
      </c>
    </row>
    <row r="87" spans="1:34" ht="15" customHeight="1">
      <c r="A87" s="4" t="s">
        <v>70</v>
      </c>
      <c r="B87" s="23">
        <v>0.3</v>
      </c>
      <c r="C87" s="23">
        <v>308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3"/>
      <c r="W87" s="23"/>
      <c r="X87" s="27"/>
      <c r="Y87" s="27"/>
      <c r="Z87" s="27"/>
      <c r="AA87" s="27"/>
      <c r="AB87" s="23"/>
      <c r="AC87" s="23"/>
      <c r="AD87" s="23"/>
      <c r="AE87" s="23"/>
      <c r="AF87" s="28">
        <f t="shared" si="13"/>
        <v>0</v>
      </c>
      <c r="AG87" s="23">
        <f t="shared" si="16"/>
        <v>308.3</v>
      </c>
      <c r="AH87" s="11"/>
    </row>
    <row r="88" spans="1:34" ht="15.75">
      <c r="A88" s="4" t="s">
        <v>54</v>
      </c>
      <c r="B88" s="23">
        <v>4350</v>
      </c>
      <c r="C88" s="23">
        <v>2868.6</v>
      </c>
      <c r="D88" s="23"/>
      <c r="E88" s="23"/>
      <c r="F88" s="23"/>
      <c r="G88" s="23">
        <v>150.9</v>
      </c>
      <c r="H88" s="23"/>
      <c r="I88" s="23">
        <v>370.2</v>
      </c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3"/>
      <c r="W88" s="23"/>
      <c r="X88" s="27"/>
      <c r="Y88" s="27"/>
      <c r="Z88" s="27"/>
      <c r="AA88" s="27"/>
      <c r="AB88" s="23"/>
      <c r="AC88" s="23"/>
      <c r="AD88" s="23"/>
      <c r="AE88" s="23"/>
      <c r="AF88" s="28">
        <f t="shared" si="13"/>
        <v>521.1</v>
      </c>
      <c r="AG88" s="23">
        <f t="shared" si="16"/>
        <v>6697.5</v>
      </c>
      <c r="AH88" s="11"/>
    </row>
    <row r="89" spans="1:34" ht="15.75">
      <c r="A89" s="4" t="s">
        <v>49</v>
      </c>
      <c r="B89" s="23">
        <v>1855.3</v>
      </c>
      <c r="C89" s="23">
        <v>618.5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3"/>
      <c r="W89" s="23"/>
      <c r="X89" s="27"/>
      <c r="Y89" s="27"/>
      <c r="Z89" s="27"/>
      <c r="AA89" s="27"/>
      <c r="AB89" s="23"/>
      <c r="AC89" s="23"/>
      <c r="AD89" s="23"/>
      <c r="AE89" s="23"/>
      <c r="AF89" s="28">
        <f t="shared" si="13"/>
        <v>0</v>
      </c>
      <c r="AG89" s="23">
        <f t="shared" si="16"/>
        <v>2473.8</v>
      </c>
      <c r="AH89" s="11"/>
    </row>
    <row r="90" spans="1:34" ht="15.75">
      <c r="A90" s="4" t="s">
        <v>29</v>
      </c>
      <c r="B90" s="23">
        <v>19.1</v>
      </c>
      <c r="C90" s="23">
        <v>185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3"/>
      <c r="W90" s="23"/>
      <c r="X90" s="27"/>
      <c r="Y90" s="27"/>
      <c r="Z90" s="27"/>
      <c r="AA90" s="27"/>
      <c r="AB90" s="23"/>
      <c r="AC90" s="23"/>
      <c r="AD90" s="23"/>
      <c r="AE90" s="23"/>
      <c r="AF90" s="28">
        <f t="shared" si="13"/>
        <v>0</v>
      </c>
      <c r="AG90" s="23">
        <f t="shared" si="16"/>
        <v>204.1</v>
      </c>
      <c r="AH90" s="11"/>
    </row>
    <row r="91" spans="1:34" ht="15.75">
      <c r="A91" s="4" t="s">
        <v>53</v>
      </c>
      <c r="B91" s="23">
        <v>21122.3</v>
      </c>
      <c r="C91" s="23">
        <v>0</v>
      </c>
      <c r="D91" s="23"/>
      <c r="E91" s="23"/>
      <c r="F91" s="23"/>
      <c r="G91" s="23">
        <v>10000</v>
      </c>
      <c r="H91" s="23"/>
      <c r="I91" s="23"/>
      <c r="J91" s="23"/>
      <c r="K91" s="23">
        <v>5000</v>
      </c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3"/>
        <v>15000</v>
      </c>
      <c r="AG91" s="23">
        <f t="shared" si="16"/>
        <v>6122.299999999999</v>
      </c>
      <c r="AH91" s="11"/>
    </row>
    <row r="92" spans="1:33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3"/>
      <c r="AG92" s="23"/>
    </row>
    <row r="93" spans="1:33" s="5" customFormat="1" ht="15.75">
      <c r="A93" s="7" t="s">
        <v>31</v>
      </c>
      <c r="B93" s="43">
        <f aca="true" t="shared" si="17" ref="B93:Y93">B10+B15+B24+B33+B47+B52+B54+B61+B62+B69+B71+B72+B75+B80+B81+B82+B87+B88+B89+B90+B40+B91+B70</f>
        <v>94894.50000000003</v>
      </c>
      <c r="C93" s="43">
        <f t="shared" si="17"/>
        <v>33546.49999999999</v>
      </c>
      <c r="D93" s="43">
        <f t="shared" si="17"/>
        <v>3801.6</v>
      </c>
      <c r="E93" s="43">
        <f t="shared" si="17"/>
        <v>1209.5</v>
      </c>
      <c r="F93" s="43">
        <f t="shared" si="17"/>
        <v>365.4</v>
      </c>
      <c r="G93" s="43">
        <f t="shared" si="17"/>
        <v>11063.2</v>
      </c>
      <c r="H93" s="43">
        <f t="shared" si="17"/>
        <v>258.7</v>
      </c>
      <c r="I93" s="43">
        <f t="shared" si="17"/>
        <v>628.7</v>
      </c>
      <c r="J93" s="43">
        <f t="shared" si="17"/>
        <v>1269.8</v>
      </c>
      <c r="K93" s="43">
        <f t="shared" si="17"/>
        <v>7404.9</v>
      </c>
      <c r="L93" s="43">
        <f t="shared" si="17"/>
        <v>0</v>
      </c>
      <c r="M93" s="43">
        <f t="shared" si="17"/>
        <v>0</v>
      </c>
      <c r="N93" s="43">
        <f t="shared" si="17"/>
        <v>0</v>
      </c>
      <c r="O93" s="43">
        <f t="shared" si="17"/>
        <v>0</v>
      </c>
      <c r="P93" s="43">
        <f t="shared" si="17"/>
        <v>0</v>
      </c>
      <c r="Q93" s="43">
        <f t="shared" si="17"/>
        <v>0</v>
      </c>
      <c r="R93" s="43">
        <f t="shared" si="17"/>
        <v>0</v>
      </c>
      <c r="S93" s="43">
        <f t="shared" si="17"/>
        <v>0</v>
      </c>
      <c r="T93" s="43">
        <f t="shared" si="17"/>
        <v>0</v>
      </c>
      <c r="U93" s="43">
        <f t="shared" si="17"/>
        <v>0</v>
      </c>
      <c r="V93" s="43"/>
      <c r="W93" s="43"/>
      <c r="X93" s="43">
        <f t="shared" si="17"/>
        <v>0</v>
      </c>
      <c r="Y93" s="43">
        <f t="shared" si="17"/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>
        <f>AC10+AC15+AC24+AC33+AC47+AC52+AC54+AC61+AC62+AC69+AC71+AC72+AC75+AC80+AC81+AC82+AC87+AC88+AC89+AC90+AC40</f>
        <v>0</v>
      </c>
      <c r="AD93" s="43">
        <f>AD10+AD15+AD24+AD33+AD47+AD52+AD54+AD61+AD62+AD69+AD71+AD72+AD75+AD80+AD81+AD82+AD87+AD88+AD89+AD90+AD40</f>
        <v>0</v>
      </c>
      <c r="AE93" s="43"/>
      <c r="AF93" s="43">
        <f>AF10+AF15+AF24+AF33+AF47+AF52+AF54+AF61+AF62+AF69+AF71+AF72+AF75+AF80+AF81+AF82+AF87+AF88+AF89+AF90+AF70+AF40+AF91</f>
        <v>26001.800000000003</v>
      </c>
      <c r="AG93" s="59">
        <f>AG10+AG15+AG24+AG33+AG47+AG52+AG54+AG61+AG62+AG69+AG71+AG72+AG75+AG80+AG81+AG82+AG87+AG88+AG89+AG90+AG70+AG40+AG91</f>
        <v>102439.20000000001</v>
      </c>
    </row>
    <row r="94" spans="1:33" ht="15.75">
      <c r="A94" s="3" t="s">
        <v>5</v>
      </c>
      <c r="B94" s="23">
        <f aca="true" t="shared" si="18" ref="B94:AD94">B11+B17+B26+B34+B55+B63+B73+B41+B76</f>
        <v>52575.200000000004</v>
      </c>
      <c r="C94" s="23">
        <f t="shared" si="18"/>
        <v>3831.7999999999997</v>
      </c>
      <c r="D94" s="23">
        <f t="shared" si="18"/>
        <v>495.1</v>
      </c>
      <c r="E94" s="23">
        <f t="shared" si="18"/>
        <v>27</v>
      </c>
      <c r="F94" s="23">
        <f t="shared" si="18"/>
        <v>130.9</v>
      </c>
      <c r="G94" s="23">
        <f t="shared" si="18"/>
        <v>0</v>
      </c>
      <c r="H94" s="23">
        <f t="shared" si="18"/>
        <v>0</v>
      </c>
      <c r="I94" s="23">
        <f t="shared" si="18"/>
        <v>9.3</v>
      </c>
      <c r="J94" s="23">
        <f t="shared" si="18"/>
        <v>71.1</v>
      </c>
      <c r="K94" s="23">
        <f t="shared" si="18"/>
        <v>2055.7999999999997</v>
      </c>
      <c r="L94" s="23">
        <f t="shared" si="18"/>
        <v>0</v>
      </c>
      <c r="M94" s="23">
        <f t="shared" si="18"/>
        <v>0</v>
      </c>
      <c r="N94" s="23">
        <f t="shared" si="18"/>
        <v>0</v>
      </c>
      <c r="O94" s="23">
        <f t="shared" si="18"/>
        <v>0</v>
      </c>
      <c r="P94" s="23">
        <f t="shared" si="18"/>
        <v>0</v>
      </c>
      <c r="Q94" s="23">
        <f t="shared" si="18"/>
        <v>0</v>
      </c>
      <c r="R94" s="23">
        <f t="shared" si="18"/>
        <v>0</v>
      </c>
      <c r="S94" s="23">
        <f t="shared" si="18"/>
        <v>0</v>
      </c>
      <c r="T94" s="23">
        <f t="shared" si="18"/>
        <v>0</v>
      </c>
      <c r="U94" s="23">
        <f t="shared" si="18"/>
        <v>0</v>
      </c>
      <c r="V94" s="23"/>
      <c r="W94" s="23"/>
      <c r="X94" s="23">
        <f t="shared" si="18"/>
        <v>0</v>
      </c>
      <c r="Y94" s="23">
        <f t="shared" si="18"/>
        <v>0</v>
      </c>
      <c r="Z94" s="23">
        <f t="shared" si="18"/>
        <v>0</v>
      </c>
      <c r="AA94" s="23">
        <f t="shared" si="18"/>
        <v>0</v>
      </c>
      <c r="AB94" s="23">
        <f t="shared" si="18"/>
        <v>0</v>
      </c>
      <c r="AC94" s="23">
        <f t="shared" si="18"/>
        <v>0</v>
      </c>
      <c r="AD94" s="23">
        <f t="shared" si="18"/>
        <v>0</v>
      </c>
      <c r="AE94" s="23"/>
      <c r="AF94" s="23">
        <f>SUM(D94:AD94)</f>
        <v>2789.2</v>
      </c>
      <c r="AG94" s="28">
        <f>B94+C94-AF94</f>
        <v>53617.80000000001</v>
      </c>
    </row>
    <row r="95" spans="1:33" ht="15.75">
      <c r="A95" s="3" t="s">
        <v>2</v>
      </c>
      <c r="B95" s="23">
        <f aca="true" t="shared" si="19" ref="B95:AD95">B12+B20+B29+B36+B57+B66+B44+B79+B74+B53</f>
        <v>2492.4</v>
      </c>
      <c r="C95" s="23">
        <f t="shared" si="19"/>
        <v>8795.1</v>
      </c>
      <c r="D95" s="23">
        <f t="shared" si="19"/>
        <v>6.5</v>
      </c>
      <c r="E95" s="23">
        <f t="shared" si="19"/>
        <v>0.3</v>
      </c>
      <c r="F95" s="23">
        <f t="shared" si="19"/>
        <v>54.900000000000006</v>
      </c>
      <c r="G95" s="23">
        <f t="shared" si="19"/>
        <v>324.3</v>
      </c>
      <c r="H95" s="23">
        <f t="shared" si="19"/>
        <v>4.8999999999999995</v>
      </c>
      <c r="I95" s="23">
        <f t="shared" si="19"/>
        <v>5.3</v>
      </c>
      <c r="J95" s="23">
        <f t="shared" si="19"/>
        <v>137.8</v>
      </c>
      <c r="K95" s="23">
        <f t="shared" si="19"/>
        <v>2.5</v>
      </c>
      <c r="L95" s="23">
        <f t="shared" si="19"/>
        <v>0</v>
      </c>
      <c r="M95" s="23">
        <f t="shared" si="19"/>
        <v>0</v>
      </c>
      <c r="N95" s="23">
        <f t="shared" si="19"/>
        <v>0</v>
      </c>
      <c r="O95" s="23">
        <f t="shared" si="19"/>
        <v>0</v>
      </c>
      <c r="P95" s="23">
        <f t="shared" si="19"/>
        <v>0</v>
      </c>
      <c r="Q95" s="23">
        <f t="shared" si="19"/>
        <v>0</v>
      </c>
      <c r="R95" s="23">
        <f t="shared" si="19"/>
        <v>0</v>
      </c>
      <c r="S95" s="23">
        <f t="shared" si="19"/>
        <v>0</v>
      </c>
      <c r="T95" s="23">
        <f t="shared" si="19"/>
        <v>0</v>
      </c>
      <c r="U95" s="23">
        <f t="shared" si="19"/>
        <v>0</v>
      </c>
      <c r="V95" s="23"/>
      <c r="W95" s="23"/>
      <c r="X95" s="23">
        <f t="shared" si="19"/>
        <v>0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536.5</v>
      </c>
      <c r="AG95" s="28">
        <f>B95+C95-AF95</f>
        <v>10751</v>
      </c>
    </row>
    <row r="96" spans="1:33" ht="15.75">
      <c r="A96" s="3" t="s">
        <v>3</v>
      </c>
      <c r="B96" s="23">
        <f aca="true" t="shared" si="20" ref="B96:AA96">B18+B27+B42+B64+B77</f>
        <v>1457.9</v>
      </c>
      <c r="C96" s="23">
        <f t="shared" si="20"/>
        <v>1825.8999999999999</v>
      </c>
      <c r="D96" s="23">
        <f t="shared" si="20"/>
        <v>21.9</v>
      </c>
      <c r="E96" s="23">
        <f t="shared" si="20"/>
        <v>0</v>
      </c>
      <c r="F96" s="23">
        <f t="shared" si="20"/>
        <v>63.8</v>
      </c>
      <c r="G96" s="23">
        <f t="shared" si="20"/>
        <v>0</v>
      </c>
      <c r="H96" s="23">
        <f t="shared" si="20"/>
        <v>0</v>
      </c>
      <c r="I96" s="23">
        <f t="shared" si="20"/>
        <v>0</v>
      </c>
      <c r="J96" s="23">
        <f t="shared" si="20"/>
        <v>132.1</v>
      </c>
      <c r="K96" s="23">
        <f t="shared" si="20"/>
        <v>76.2</v>
      </c>
      <c r="L96" s="23">
        <f t="shared" si="20"/>
        <v>0</v>
      </c>
      <c r="M96" s="23">
        <f t="shared" si="20"/>
        <v>0</v>
      </c>
      <c r="N96" s="23">
        <f t="shared" si="20"/>
        <v>0</v>
      </c>
      <c r="O96" s="23">
        <f t="shared" si="20"/>
        <v>0</v>
      </c>
      <c r="P96" s="23">
        <f t="shared" si="20"/>
        <v>0</v>
      </c>
      <c r="Q96" s="23">
        <f t="shared" si="20"/>
        <v>0</v>
      </c>
      <c r="R96" s="23">
        <f t="shared" si="20"/>
        <v>0</v>
      </c>
      <c r="S96" s="23">
        <f t="shared" si="20"/>
        <v>0</v>
      </c>
      <c r="T96" s="23">
        <f t="shared" si="20"/>
        <v>0</v>
      </c>
      <c r="U96" s="23">
        <f t="shared" si="20"/>
        <v>0</v>
      </c>
      <c r="V96" s="23"/>
      <c r="W96" s="23"/>
      <c r="X96" s="23">
        <f t="shared" si="20"/>
        <v>0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>AB18+AB27+AB42+AB64</f>
        <v>0</v>
      </c>
      <c r="AC96" s="23">
        <f>AC18+AC27+AC42+AC64</f>
        <v>0</v>
      </c>
      <c r="AD96" s="23">
        <f>AD18+AD27+AD42+AD64</f>
        <v>0</v>
      </c>
      <c r="AE96" s="23"/>
      <c r="AF96" s="23">
        <f>SUM(D96:AD96)</f>
        <v>294</v>
      </c>
      <c r="AG96" s="28">
        <f>B96+C96-AF96</f>
        <v>2989.8</v>
      </c>
    </row>
    <row r="97" spans="1:33" ht="15.75">
      <c r="A97" s="3" t="s">
        <v>1</v>
      </c>
      <c r="B97" s="23">
        <f aca="true" t="shared" si="21" ref="B97:AA97">B19+B28+B65+B35+B43+B56+B48+B78</f>
        <v>2722.9</v>
      </c>
      <c r="C97" s="23">
        <f t="shared" si="21"/>
        <v>2173.7000000000003</v>
      </c>
      <c r="D97" s="23">
        <f t="shared" si="21"/>
        <v>0</v>
      </c>
      <c r="E97" s="23">
        <f t="shared" si="21"/>
        <v>0</v>
      </c>
      <c r="F97" s="23">
        <f t="shared" si="21"/>
        <v>10.7</v>
      </c>
      <c r="G97" s="23">
        <f t="shared" si="21"/>
        <v>356.6</v>
      </c>
      <c r="H97" s="23">
        <f t="shared" si="21"/>
        <v>0</v>
      </c>
      <c r="I97" s="23">
        <f t="shared" si="21"/>
        <v>0</v>
      </c>
      <c r="J97" s="23">
        <f t="shared" si="21"/>
        <v>30.1</v>
      </c>
      <c r="K97" s="23">
        <f t="shared" si="21"/>
        <v>34.4</v>
      </c>
      <c r="L97" s="23">
        <f t="shared" si="21"/>
        <v>0</v>
      </c>
      <c r="M97" s="23">
        <f t="shared" si="21"/>
        <v>0</v>
      </c>
      <c r="N97" s="23">
        <f t="shared" si="21"/>
        <v>0</v>
      </c>
      <c r="O97" s="23">
        <f t="shared" si="21"/>
        <v>0</v>
      </c>
      <c r="P97" s="23">
        <f t="shared" si="21"/>
        <v>0</v>
      </c>
      <c r="Q97" s="23">
        <f t="shared" si="21"/>
        <v>0</v>
      </c>
      <c r="R97" s="23">
        <f t="shared" si="21"/>
        <v>0</v>
      </c>
      <c r="S97" s="23">
        <f t="shared" si="21"/>
        <v>0</v>
      </c>
      <c r="T97" s="23">
        <f t="shared" si="21"/>
        <v>0</v>
      </c>
      <c r="U97" s="23">
        <f t="shared" si="21"/>
        <v>0</v>
      </c>
      <c r="V97" s="23"/>
      <c r="W97" s="23"/>
      <c r="X97" s="23">
        <f t="shared" si="21"/>
        <v>0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AB19+AB28+AB65+AB35+AB43+AB56</f>
        <v>0</v>
      </c>
      <c r="AC97" s="23">
        <f>AC19+AC28+AC65+AC35+AC43+AC56</f>
        <v>0</v>
      </c>
      <c r="AD97" s="23">
        <f>AD19+AD28+AD65+AD35+AD43+AD56</f>
        <v>0</v>
      </c>
      <c r="AE97" s="23"/>
      <c r="AF97" s="23">
        <f>SUM(D97:AD97)</f>
        <v>431.8</v>
      </c>
      <c r="AG97" s="28">
        <f>B97+C97-AF97</f>
        <v>4464.8</v>
      </c>
    </row>
    <row r="98" spans="1:33" ht="15.75">
      <c r="A98" s="3" t="s">
        <v>17</v>
      </c>
      <c r="B98" s="23">
        <f aca="true" t="shared" si="22" ref="B98:AD98">B21+B30+B49+B37+B58+B13</f>
        <v>736.8000000000001</v>
      </c>
      <c r="C98" s="23">
        <f t="shared" si="22"/>
        <v>3289</v>
      </c>
      <c r="D98" s="23">
        <f t="shared" si="22"/>
        <v>0</v>
      </c>
      <c r="E98" s="23">
        <f t="shared" si="22"/>
        <v>0</v>
      </c>
      <c r="F98" s="23">
        <f t="shared" si="22"/>
        <v>0</v>
      </c>
      <c r="G98" s="23">
        <f t="shared" si="22"/>
        <v>0</v>
      </c>
      <c r="H98" s="23">
        <f t="shared" si="22"/>
        <v>0</v>
      </c>
      <c r="I98" s="23">
        <f t="shared" si="22"/>
        <v>116.9</v>
      </c>
      <c r="J98" s="23">
        <f t="shared" si="22"/>
        <v>610</v>
      </c>
      <c r="K98" s="23">
        <f t="shared" si="22"/>
        <v>111.8</v>
      </c>
      <c r="L98" s="23">
        <f t="shared" si="22"/>
        <v>0</v>
      </c>
      <c r="M98" s="23">
        <f t="shared" si="22"/>
        <v>0</v>
      </c>
      <c r="N98" s="23">
        <f t="shared" si="22"/>
        <v>0</v>
      </c>
      <c r="O98" s="23">
        <f t="shared" si="22"/>
        <v>0</v>
      </c>
      <c r="P98" s="23">
        <f t="shared" si="22"/>
        <v>0</v>
      </c>
      <c r="Q98" s="23">
        <f t="shared" si="22"/>
        <v>0</v>
      </c>
      <c r="R98" s="23">
        <f t="shared" si="22"/>
        <v>0</v>
      </c>
      <c r="S98" s="23">
        <f t="shared" si="22"/>
        <v>0</v>
      </c>
      <c r="T98" s="23">
        <f t="shared" si="22"/>
        <v>0</v>
      </c>
      <c r="U98" s="23">
        <f t="shared" si="22"/>
        <v>0</v>
      </c>
      <c r="V98" s="23"/>
      <c r="W98" s="23"/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 t="shared" si="22"/>
        <v>0</v>
      </c>
      <c r="AC98" s="23">
        <f t="shared" si="22"/>
        <v>0</v>
      </c>
      <c r="AD98" s="23">
        <f t="shared" si="22"/>
        <v>0</v>
      </c>
      <c r="AE98" s="23"/>
      <c r="AF98" s="23">
        <f>SUM(D98:AD98)</f>
        <v>838.6999999999999</v>
      </c>
      <c r="AG98" s="28">
        <f>B98+C98-AF98</f>
        <v>3187.1000000000004</v>
      </c>
    </row>
    <row r="99" spans="1:33" ht="12.75">
      <c r="A99" s="1" t="s">
        <v>47</v>
      </c>
      <c r="B99" s="2">
        <f aca="true" t="shared" si="23" ref="B99:AD99">B93-B94-B95-B96-B97-B98</f>
        <v>34909.30000000002</v>
      </c>
      <c r="C99" s="2">
        <f t="shared" si="23"/>
        <v>13630.999999999989</v>
      </c>
      <c r="D99" s="2">
        <f t="shared" si="23"/>
        <v>3278.1</v>
      </c>
      <c r="E99" s="2">
        <f t="shared" si="23"/>
        <v>1182.2</v>
      </c>
      <c r="F99" s="2">
        <f t="shared" si="23"/>
        <v>105.09999999999997</v>
      </c>
      <c r="G99" s="2">
        <f t="shared" si="23"/>
        <v>10382.300000000001</v>
      </c>
      <c r="H99" s="2">
        <f t="shared" si="23"/>
        <v>253.79999999999998</v>
      </c>
      <c r="I99" s="2">
        <f t="shared" si="23"/>
        <v>497.20000000000016</v>
      </c>
      <c r="J99" s="2">
        <f t="shared" si="23"/>
        <v>288.70000000000005</v>
      </c>
      <c r="K99" s="2">
        <f t="shared" si="23"/>
        <v>5124.200000000001</v>
      </c>
      <c r="L99" s="2">
        <f t="shared" si="23"/>
        <v>0</v>
      </c>
      <c r="M99" s="2">
        <f t="shared" si="23"/>
        <v>0</v>
      </c>
      <c r="N99" s="2">
        <f t="shared" si="23"/>
        <v>0</v>
      </c>
      <c r="O99" s="2">
        <f t="shared" si="23"/>
        <v>0</v>
      </c>
      <c r="P99" s="2">
        <f t="shared" si="23"/>
        <v>0</v>
      </c>
      <c r="Q99" s="2">
        <f t="shared" si="23"/>
        <v>0</v>
      </c>
      <c r="R99" s="2">
        <f t="shared" si="23"/>
        <v>0</v>
      </c>
      <c r="S99" s="2">
        <f t="shared" si="23"/>
        <v>0</v>
      </c>
      <c r="T99" s="2">
        <f t="shared" si="23"/>
        <v>0</v>
      </c>
      <c r="U99" s="2">
        <f t="shared" si="23"/>
        <v>0</v>
      </c>
      <c r="V99" s="2"/>
      <c r="W99" s="2"/>
      <c r="X99" s="2">
        <f t="shared" si="23"/>
        <v>0</v>
      </c>
      <c r="Y99" s="2">
        <f t="shared" si="23"/>
        <v>0</v>
      </c>
      <c r="Z99" s="2">
        <f t="shared" si="23"/>
        <v>0</v>
      </c>
      <c r="AA99" s="2">
        <f t="shared" si="23"/>
        <v>0</v>
      </c>
      <c r="AB99" s="2">
        <f t="shared" si="23"/>
        <v>0</v>
      </c>
      <c r="AC99" s="2">
        <f t="shared" si="23"/>
        <v>0</v>
      </c>
      <c r="AD99" s="2">
        <f t="shared" si="23"/>
        <v>0</v>
      </c>
      <c r="AE99" s="2"/>
      <c r="AF99" s="2">
        <f>AF93-AF94-AF95-AF96-AF97-AF98</f>
        <v>21111.600000000002</v>
      </c>
      <c r="AG99" s="2">
        <f>AG93-AG94-AG95-AG96-AG97-AG98</f>
        <v>27428.699999999997</v>
      </c>
    </row>
    <row r="100" spans="1:33" s="40" customFormat="1" ht="15.75">
      <c r="A100" s="38"/>
      <c r="B100" s="39"/>
      <c r="C100" s="39"/>
      <c r="AB100" s="39"/>
      <c r="AC100" s="39"/>
      <c r="AD100" s="39"/>
      <c r="AE100" s="39"/>
      <c r="AF100" s="39"/>
      <c r="AG100" s="39"/>
    </row>
    <row r="101" spans="1:33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16"/>
      <c r="AA101" s="16"/>
      <c r="AB101" s="16"/>
      <c r="AC101" s="16">
        <f>AC9-AC16-AC25</f>
        <v>0</v>
      </c>
      <c r="AD101" s="16">
        <f>AD9-AD16-AD25</f>
        <v>0</v>
      </c>
      <c r="AE101" s="16"/>
      <c r="AF101" s="16"/>
      <c r="AG101" s="16"/>
    </row>
    <row r="102" spans="1:33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3"/>
      <c r="AC102" s="53"/>
      <c r="AD102" s="53"/>
      <c r="AE102" s="53"/>
      <c r="AF102" s="53"/>
      <c r="AG102" s="53"/>
    </row>
    <row r="103" spans="1:33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"/>
      <c r="W103" s="2"/>
      <c r="X103" s="20"/>
      <c r="Y103" s="20"/>
      <c r="Z103" s="20"/>
      <c r="AA103" s="20"/>
      <c r="AB103" s="2"/>
      <c r="AC103" s="2"/>
      <c r="AD103" s="2"/>
      <c r="AE103" s="2"/>
      <c r="AF103" s="2"/>
      <c r="AG103" s="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2:33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6"/>
      <c r="W105" s="6"/>
      <c r="X105" s="22"/>
      <c r="Y105" s="22"/>
      <c r="Z105" s="22"/>
      <c r="AA105" s="22"/>
      <c r="AB105" s="6"/>
      <c r="AC105" s="6"/>
      <c r="AD105" s="6"/>
      <c r="AE105" s="6"/>
      <c r="AF105" s="6"/>
      <c r="AG105" s="6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78" spans="19:26" ht="12.75">
      <c r="S178" s="34"/>
      <c r="T178" s="34"/>
      <c r="U178" s="35"/>
      <c r="V178" s="35"/>
      <c r="W178" s="35"/>
      <c r="X178" s="34"/>
      <c r="Y178" s="34"/>
      <c r="Z178" s="34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</sheetData>
  <sheetProtection/>
  <mergeCells count="2">
    <mergeCell ref="A1:AG1"/>
    <mergeCell ref="A2:A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52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52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58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7" sqref="W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61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7" sqref="Q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64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34536</v>
      </c>
      <c r="C7" s="73">
        <v>1566.4</v>
      </c>
      <c r="D7" s="46"/>
      <c r="E7" s="47"/>
      <c r="F7" s="47"/>
      <c r="G7" s="47"/>
      <c r="H7" s="75">
        <v>14348.1</v>
      </c>
      <c r="I7" s="47"/>
      <c r="J7" s="48"/>
      <c r="K7" s="47"/>
      <c r="L7" s="47"/>
      <c r="M7" s="47"/>
      <c r="N7" s="47"/>
      <c r="O7" s="47"/>
      <c r="P7" s="47"/>
      <c r="Q7" s="47">
        <v>15940.9</v>
      </c>
      <c r="R7" s="47"/>
      <c r="S7" s="48"/>
      <c r="T7" s="48"/>
      <c r="U7" s="47">
        <v>4247</v>
      </c>
      <c r="V7" s="48"/>
      <c r="W7" s="48"/>
      <c r="X7" s="48"/>
      <c r="Y7" s="48"/>
      <c r="Z7" s="48"/>
      <c r="AA7" s="47"/>
      <c r="AB7" s="47"/>
      <c r="AC7" s="73">
        <v>2079.9</v>
      </c>
      <c r="AD7" s="49"/>
      <c r="AE7" s="49"/>
    </row>
    <row r="8" spans="1:53" ht="18" customHeight="1">
      <c r="A8" s="61" t="s">
        <v>37</v>
      </c>
      <c r="B8" s="41">
        <f>SUM(D8:Z8)</f>
        <v>57204.19999999999</v>
      </c>
      <c r="C8" s="41">
        <v>36208.4</v>
      </c>
      <c r="D8" s="44">
        <v>7057</v>
      </c>
      <c r="E8" s="56">
        <v>2442.3</v>
      </c>
      <c r="F8" s="56">
        <v>3535.4</v>
      </c>
      <c r="G8" s="56">
        <v>4003</v>
      </c>
      <c r="H8" s="56">
        <v>2660.2</v>
      </c>
      <c r="I8" s="56">
        <v>1337.5</v>
      </c>
      <c r="J8" s="57">
        <v>1743</v>
      </c>
      <c r="K8" s="56">
        <v>1902.2</v>
      </c>
      <c r="L8" s="56">
        <v>4526.9</v>
      </c>
      <c r="M8" s="56">
        <v>2648.3</v>
      </c>
      <c r="N8" s="56">
        <v>3838.7</v>
      </c>
      <c r="O8" s="56">
        <v>2912.1</v>
      </c>
      <c r="P8" s="56">
        <v>2316.7</v>
      </c>
      <c r="Q8" s="56">
        <v>2907.9</v>
      </c>
      <c r="R8" s="56">
        <v>1335.1</v>
      </c>
      <c r="S8" s="58">
        <v>3050.2</v>
      </c>
      <c r="T8" s="58">
        <f>3220.6-61.9</f>
        <v>3158.7</v>
      </c>
      <c r="U8" s="56">
        <f>5846.5-17.5</f>
        <v>5829</v>
      </c>
      <c r="V8" s="57"/>
      <c r="W8" s="57"/>
      <c r="X8" s="57"/>
      <c r="Y8" s="57"/>
      <c r="Z8" s="56"/>
      <c r="AA8" s="24"/>
      <c r="AB8" s="24"/>
      <c r="AC8" s="62">
        <f>51574.8-61.9-17.5</f>
        <v>51495.4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84488.70000000001</v>
      </c>
      <c r="C9" s="25">
        <f t="shared" si="0"/>
        <v>15738.300000000001</v>
      </c>
      <c r="D9" s="25">
        <f t="shared" si="0"/>
        <v>2746.4</v>
      </c>
      <c r="E9" s="25">
        <f t="shared" si="0"/>
        <v>1064.9</v>
      </c>
      <c r="F9" s="25">
        <f t="shared" si="0"/>
        <v>5226.999999999998</v>
      </c>
      <c r="G9" s="25">
        <f t="shared" si="0"/>
        <v>1253</v>
      </c>
      <c r="H9" s="25">
        <f t="shared" si="0"/>
        <v>6153.9</v>
      </c>
      <c r="I9" s="25">
        <f t="shared" si="0"/>
        <v>11295</v>
      </c>
      <c r="J9" s="25">
        <f t="shared" si="0"/>
        <v>10208.999999999998</v>
      </c>
      <c r="K9" s="25">
        <f t="shared" si="0"/>
        <v>252.7</v>
      </c>
      <c r="L9" s="25">
        <f t="shared" si="0"/>
        <v>1261.1000000000001</v>
      </c>
      <c r="M9" s="25">
        <f t="shared" si="0"/>
        <v>138.1</v>
      </c>
      <c r="N9" s="25">
        <f t="shared" si="0"/>
        <v>1108.2</v>
      </c>
      <c r="O9" s="25">
        <f t="shared" si="0"/>
        <v>245.3</v>
      </c>
      <c r="P9" s="25">
        <f t="shared" si="0"/>
        <v>1417.3</v>
      </c>
      <c r="Q9" s="25">
        <f t="shared" si="0"/>
        <v>10906.7</v>
      </c>
      <c r="R9" s="25">
        <f t="shared" si="0"/>
        <v>10726.699999999997</v>
      </c>
      <c r="S9" s="25">
        <f t="shared" si="0"/>
        <v>6750.5</v>
      </c>
      <c r="T9" s="25">
        <f t="shared" si="0"/>
        <v>128.10000000000002</v>
      </c>
      <c r="U9" s="25">
        <f t="shared" si="0"/>
        <v>5055.800000000001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75939.7</v>
      </c>
      <c r="AE9" s="51">
        <f>AE10+AE15+AE24+AE33+AE47+AE52+AE54+AE61+AE62+AE71+AE72+AE75+AE87+AE80+AE82+AE81+AE69+AE88+AE90+AE89+AE70+AE40+AE91</f>
        <v>24287.299999999996</v>
      </c>
      <c r="AF9" s="50"/>
      <c r="AG9" s="50"/>
    </row>
    <row r="10" spans="1:31" ht="15.75">
      <c r="A10" s="4" t="s">
        <v>4</v>
      </c>
      <c r="B10" s="23">
        <f>3891.1+2.3+46.7</f>
        <v>3940.1</v>
      </c>
      <c r="C10" s="23">
        <v>1868.5</v>
      </c>
      <c r="D10" s="23"/>
      <c r="E10" s="23">
        <v>79.9</v>
      </c>
      <c r="F10" s="23">
        <v>12.7</v>
      </c>
      <c r="G10" s="23">
        <v>384.6</v>
      </c>
      <c r="H10" s="23">
        <v>272</v>
      </c>
      <c r="I10" s="23">
        <v>560.3</v>
      </c>
      <c r="J10" s="26">
        <v>6.6</v>
      </c>
      <c r="K10" s="23">
        <v>23.5</v>
      </c>
      <c r="L10" s="23">
        <v>71.3</v>
      </c>
      <c r="M10" s="23">
        <v>3.1</v>
      </c>
      <c r="N10" s="23">
        <v>55.7</v>
      </c>
      <c r="O10" s="28">
        <v>12.1</v>
      </c>
      <c r="P10" s="23">
        <v>9.9</v>
      </c>
      <c r="Q10" s="23">
        <v>24.6</v>
      </c>
      <c r="R10" s="23">
        <v>1303.7</v>
      </c>
      <c r="S10" s="27">
        <v>813.1</v>
      </c>
      <c r="T10" s="27">
        <v>11.6</v>
      </c>
      <c r="U10" s="27">
        <v>0.3</v>
      </c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3645</v>
      </c>
      <c r="AE10" s="28">
        <f>B10+C10-AD10</f>
        <v>2163.6000000000004</v>
      </c>
    </row>
    <row r="11" spans="1:31" ht="15.75">
      <c r="A11" s="3" t="s">
        <v>5</v>
      </c>
      <c r="B11" s="23">
        <f>3335.1+46.8</f>
        <v>3381.9</v>
      </c>
      <c r="C11" s="23">
        <v>374.9</v>
      </c>
      <c r="D11" s="23"/>
      <c r="E11" s="23">
        <v>72.1</v>
      </c>
      <c r="F11" s="23"/>
      <c r="G11" s="23">
        <v>370.4</v>
      </c>
      <c r="H11" s="23">
        <v>270.6</v>
      </c>
      <c r="I11" s="23">
        <v>554.6</v>
      </c>
      <c r="J11" s="27"/>
      <c r="K11" s="23">
        <v>17</v>
      </c>
      <c r="L11" s="23">
        <v>6.3</v>
      </c>
      <c r="M11" s="23"/>
      <c r="N11" s="23">
        <v>54.5</v>
      </c>
      <c r="O11" s="28"/>
      <c r="P11" s="23"/>
      <c r="Q11" s="23"/>
      <c r="R11" s="23">
        <v>1180.5</v>
      </c>
      <c r="S11" s="27">
        <v>765.4</v>
      </c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3291.4</v>
      </c>
      <c r="AE11" s="28">
        <f>B11+C11-AD11</f>
        <v>465.4000000000001</v>
      </c>
    </row>
    <row r="12" spans="1:31" ht="15.75">
      <c r="A12" s="3" t="s">
        <v>2</v>
      </c>
      <c r="B12" s="37">
        <f>61.5+2.4</f>
        <v>63.9</v>
      </c>
      <c r="C12" s="23">
        <v>612.9</v>
      </c>
      <c r="D12" s="23"/>
      <c r="E12" s="23"/>
      <c r="F12" s="23"/>
      <c r="G12" s="23"/>
      <c r="H12" s="23"/>
      <c r="I12" s="23">
        <v>4.4</v>
      </c>
      <c r="J12" s="27"/>
      <c r="K12" s="23"/>
      <c r="L12" s="23"/>
      <c r="M12" s="23"/>
      <c r="N12" s="23"/>
      <c r="O12" s="28"/>
      <c r="P12" s="23"/>
      <c r="Q12" s="23"/>
      <c r="R12" s="23">
        <v>28.7</v>
      </c>
      <c r="S12" s="27">
        <v>17.2</v>
      </c>
      <c r="T12" s="27">
        <v>4.1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54.4</v>
      </c>
      <c r="AE12" s="28">
        <f>B12+C12-AD12</f>
        <v>622.4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494.29999999999984</v>
      </c>
      <c r="C14" s="23">
        <f t="shared" si="2"/>
        <v>880.6999999999999</v>
      </c>
      <c r="D14" s="23">
        <f t="shared" si="2"/>
        <v>0</v>
      </c>
      <c r="E14" s="23">
        <f t="shared" si="2"/>
        <v>7.800000000000011</v>
      </c>
      <c r="F14" s="23">
        <f t="shared" si="2"/>
        <v>12.7</v>
      </c>
      <c r="G14" s="23">
        <f t="shared" si="2"/>
        <v>14.200000000000045</v>
      </c>
      <c r="H14" s="23">
        <f t="shared" si="2"/>
        <v>1.3999999999999773</v>
      </c>
      <c r="I14" s="23">
        <f t="shared" si="2"/>
        <v>1.2999999999999314</v>
      </c>
      <c r="J14" s="23">
        <f t="shared" si="2"/>
        <v>6.6</v>
      </c>
      <c r="K14" s="23">
        <f t="shared" si="2"/>
        <v>6.5</v>
      </c>
      <c r="L14" s="23">
        <f t="shared" si="2"/>
        <v>65</v>
      </c>
      <c r="M14" s="23">
        <f t="shared" si="2"/>
        <v>3.1</v>
      </c>
      <c r="N14" s="23">
        <f t="shared" si="2"/>
        <v>1.2000000000000028</v>
      </c>
      <c r="O14" s="23">
        <f t="shared" si="2"/>
        <v>12.1</v>
      </c>
      <c r="P14" s="23">
        <f t="shared" si="2"/>
        <v>9.9</v>
      </c>
      <c r="Q14" s="23">
        <f t="shared" si="2"/>
        <v>24.6</v>
      </c>
      <c r="R14" s="23">
        <f t="shared" si="2"/>
        <v>94.50000000000004</v>
      </c>
      <c r="S14" s="23">
        <f t="shared" si="2"/>
        <v>30.500000000000046</v>
      </c>
      <c r="T14" s="23">
        <f t="shared" si="2"/>
        <v>7.5</v>
      </c>
      <c r="U14" s="23">
        <f t="shared" si="2"/>
        <v>0.3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299.2000000000001</v>
      </c>
      <c r="AE14" s="28">
        <f>AE10-AE11-AE12-AE13</f>
        <v>1075.8000000000002</v>
      </c>
    </row>
    <row r="15" spans="1:31" ht="15" customHeight="1">
      <c r="A15" s="4" t="s">
        <v>6</v>
      </c>
      <c r="B15" s="23">
        <f>27644.1+2002.1+2274.6+4247</f>
        <v>36167.799999999996</v>
      </c>
      <c r="C15" s="23">
        <v>5272.7</v>
      </c>
      <c r="D15" s="45">
        <v>5.9</v>
      </c>
      <c r="E15" s="45"/>
      <c r="F15" s="23">
        <v>339.2</v>
      </c>
      <c r="G15" s="23">
        <v>0.1</v>
      </c>
      <c r="H15" s="23">
        <v>3386.2</v>
      </c>
      <c r="I15" s="23">
        <v>7026.7</v>
      </c>
      <c r="J15" s="27">
        <v>4343</v>
      </c>
      <c r="K15" s="23">
        <v>0.6</v>
      </c>
      <c r="L15" s="23">
        <v>1045.6</v>
      </c>
      <c r="M15" s="23"/>
      <c r="N15" s="23"/>
      <c r="O15" s="28">
        <v>0.1</v>
      </c>
      <c r="P15" s="23">
        <v>609.9</v>
      </c>
      <c r="Q15" s="28">
        <f>9052+17.5</f>
        <v>9069.5</v>
      </c>
      <c r="R15" s="23">
        <v>1332.2</v>
      </c>
      <c r="S15" s="27">
        <v>4258.6</v>
      </c>
      <c r="T15" s="27">
        <f>47.1-7</f>
        <v>40.1</v>
      </c>
      <c r="U15" s="27">
        <v>4321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35778.7</v>
      </c>
      <c r="AE15" s="28">
        <f aca="true" t="shared" si="3" ref="AE15:AE31">B15+C15-AD15</f>
        <v>5661.799999999996</v>
      </c>
    </row>
    <row r="16" spans="1:31" s="71" customFormat="1" ht="15" customHeight="1">
      <c r="A16" s="66" t="s">
        <v>55</v>
      </c>
      <c r="B16" s="67">
        <f>13152.8+4247</f>
        <v>17399.8</v>
      </c>
      <c r="C16" s="67">
        <v>1218.3</v>
      </c>
      <c r="D16" s="68">
        <v>5.9</v>
      </c>
      <c r="E16" s="68"/>
      <c r="F16" s="67"/>
      <c r="G16" s="67"/>
      <c r="H16" s="67"/>
      <c r="I16" s="67">
        <v>6161.5</v>
      </c>
      <c r="J16" s="69">
        <v>1598.7</v>
      </c>
      <c r="K16" s="67"/>
      <c r="L16" s="67"/>
      <c r="M16" s="67"/>
      <c r="N16" s="67"/>
      <c r="O16" s="70"/>
      <c r="P16" s="67"/>
      <c r="Q16" s="70">
        <v>8.6</v>
      </c>
      <c r="R16" s="67">
        <v>1158.9</v>
      </c>
      <c r="S16" s="69">
        <v>4225.2</v>
      </c>
      <c r="T16" s="69"/>
      <c r="U16" s="69">
        <v>4271.2</v>
      </c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17430</v>
      </c>
      <c r="AE16" s="72">
        <f t="shared" si="3"/>
        <v>1188.0999999999985</v>
      </c>
    </row>
    <row r="17" spans="1:32" ht="15.75">
      <c r="A17" s="3" t="s">
        <v>5</v>
      </c>
      <c r="B17" s="23">
        <f>23830.9-3513.7+20.1+4247+0.1</f>
        <v>24584.399999999998</v>
      </c>
      <c r="C17" s="23">
        <v>915.7</v>
      </c>
      <c r="D17" s="23">
        <v>5.9</v>
      </c>
      <c r="E17" s="23"/>
      <c r="F17" s="23"/>
      <c r="G17" s="23"/>
      <c r="H17" s="23">
        <v>3224.2</v>
      </c>
      <c r="I17" s="23"/>
      <c r="J17" s="27">
        <v>3872.8</v>
      </c>
      <c r="K17" s="23"/>
      <c r="L17" s="23"/>
      <c r="M17" s="23"/>
      <c r="N17" s="23"/>
      <c r="O17" s="28"/>
      <c r="P17" s="23"/>
      <c r="Q17" s="28">
        <v>9043.5</v>
      </c>
      <c r="R17" s="23">
        <v>102.7</v>
      </c>
      <c r="S17" s="27">
        <v>4158.8</v>
      </c>
      <c r="T17" s="27"/>
      <c r="U17" s="27">
        <v>4271.2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24679.100000000002</v>
      </c>
      <c r="AE17" s="28">
        <f t="shared" si="3"/>
        <v>820.9999999999964</v>
      </c>
      <c r="AF17" s="6"/>
    </row>
    <row r="18" spans="1:31" ht="15.75">
      <c r="A18" s="3" t="s">
        <v>3</v>
      </c>
      <c r="B18" s="23">
        <f>10.6-10</f>
        <v>0.5999999999999996</v>
      </c>
      <c r="C18" s="23">
        <f>12.6-6</f>
        <v>6.6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7.199999999999999</v>
      </c>
    </row>
    <row r="19" spans="1:31" ht="15.75">
      <c r="A19" s="3" t="s">
        <v>1</v>
      </c>
      <c r="B19" s="23">
        <f>2224.3-388</f>
        <v>1836.3000000000002</v>
      </c>
      <c r="C19" s="23">
        <v>783.2</v>
      </c>
      <c r="D19" s="23"/>
      <c r="E19" s="23"/>
      <c r="F19" s="23">
        <v>318.9</v>
      </c>
      <c r="G19" s="23"/>
      <c r="H19" s="23">
        <v>131.5</v>
      </c>
      <c r="I19" s="23"/>
      <c r="J19" s="27">
        <v>305.3</v>
      </c>
      <c r="K19" s="23"/>
      <c r="L19" s="23">
        <v>2.4</v>
      </c>
      <c r="M19" s="23"/>
      <c r="N19" s="23"/>
      <c r="O19" s="28"/>
      <c r="P19" s="23">
        <v>210.7</v>
      </c>
      <c r="Q19" s="28"/>
      <c r="R19" s="23">
        <v>11.1</v>
      </c>
      <c r="S19" s="27"/>
      <c r="T19" s="27"/>
      <c r="U19" s="27">
        <v>54.8</v>
      </c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1034.7</v>
      </c>
      <c r="AE19" s="28">
        <f t="shared" si="3"/>
        <v>1584.8</v>
      </c>
    </row>
    <row r="20" spans="1:31" ht="15.75">
      <c r="A20" s="3" t="s">
        <v>2</v>
      </c>
      <c r="B20" s="23">
        <f>1061.2+611+2001.2+2274.6+3513.7-8.2</f>
        <v>9453.5</v>
      </c>
      <c r="C20" s="23">
        <v>2954.9</v>
      </c>
      <c r="D20" s="23"/>
      <c r="E20" s="23"/>
      <c r="F20" s="23">
        <v>2.7</v>
      </c>
      <c r="G20" s="23"/>
      <c r="H20" s="23">
        <v>22.2</v>
      </c>
      <c r="I20" s="23">
        <v>7026.1</v>
      </c>
      <c r="J20" s="27">
        <v>156.2</v>
      </c>
      <c r="K20" s="23"/>
      <c r="L20" s="23">
        <v>1027.8</v>
      </c>
      <c r="M20" s="23"/>
      <c r="N20" s="23"/>
      <c r="O20" s="28"/>
      <c r="P20" s="23">
        <v>374</v>
      </c>
      <c r="Q20" s="28">
        <v>8.6</v>
      </c>
      <c r="R20" s="23">
        <v>1096.7</v>
      </c>
      <c r="S20" s="27">
        <v>88.7</v>
      </c>
      <c r="T20" s="27">
        <v>43.1</v>
      </c>
      <c r="U20" s="27">
        <v>3.4</v>
      </c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9849.500000000002</v>
      </c>
      <c r="AE20" s="28">
        <f t="shared" si="3"/>
        <v>2558.899999999998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110.9</v>
      </c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114.7</v>
      </c>
      <c r="AE21" s="28">
        <f t="shared" si="3"/>
        <v>33.90000000000002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151.19999999999635</v>
      </c>
      <c r="C23" s="23">
        <f t="shared" si="4"/>
        <v>605.4999999999998</v>
      </c>
      <c r="D23" s="23">
        <f t="shared" si="4"/>
        <v>0</v>
      </c>
      <c r="E23" s="23">
        <f t="shared" si="4"/>
        <v>0</v>
      </c>
      <c r="F23" s="23">
        <f t="shared" si="4"/>
        <v>13.800000000000011</v>
      </c>
      <c r="G23" s="23">
        <f t="shared" si="4"/>
        <v>0.1</v>
      </c>
      <c r="H23" s="23">
        <f t="shared" si="4"/>
        <v>8.3</v>
      </c>
      <c r="I23" s="23">
        <f t="shared" si="4"/>
        <v>0.5999999999994543</v>
      </c>
      <c r="J23" s="23">
        <f t="shared" si="4"/>
        <v>8.699999999999818</v>
      </c>
      <c r="K23" s="23">
        <f t="shared" si="4"/>
        <v>0.6</v>
      </c>
      <c r="L23" s="23">
        <f t="shared" si="4"/>
        <v>15.399999999999864</v>
      </c>
      <c r="M23" s="23">
        <f t="shared" si="4"/>
        <v>0</v>
      </c>
      <c r="N23" s="23">
        <f t="shared" si="4"/>
        <v>0</v>
      </c>
      <c r="O23" s="23">
        <f t="shared" si="4"/>
        <v>0.1</v>
      </c>
      <c r="P23" s="23">
        <f t="shared" si="4"/>
        <v>25.19999999999999</v>
      </c>
      <c r="Q23" s="23">
        <f t="shared" si="4"/>
        <v>17.4</v>
      </c>
      <c r="R23" s="23">
        <f t="shared" si="4"/>
        <v>10.80000000000004</v>
      </c>
      <c r="S23" s="23">
        <f t="shared" si="4"/>
        <v>11.100000000000179</v>
      </c>
      <c r="T23" s="23">
        <f t="shared" si="4"/>
        <v>-3</v>
      </c>
      <c r="U23" s="23">
        <f t="shared" si="4"/>
        <v>-8.399999999999816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100.69999999999953</v>
      </c>
      <c r="AE23" s="28">
        <f t="shared" si="3"/>
        <v>655.9999999999966</v>
      </c>
    </row>
    <row r="24" spans="1:31" ht="15" customHeight="1">
      <c r="A24" s="4" t="s">
        <v>7</v>
      </c>
      <c r="B24" s="23">
        <f>16212.1+5039.9-46.7+1592.9</f>
        <v>22798.2</v>
      </c>
      <c r="C24" s="23">
        <v>562.7</v>
      </c>
      <c r="D24" s="23"/>
      <c r="E24" s="23">
        <f>5.8+346.7</f>
        <v>352.5</v>
      </c>
      <c r="F24" s="23">
        <f>1.4+4521.6</f>
        <v>4523</v>
      </c>
      <c r="G24" s="23">
        <v>104.4</v>
      </c>
      <c r="H24" s="23"/>
      <c r="I24" s="23">
        <v>2151.7</v>
      </c>
      <c r="J24" s="27">
        <v>5168.3</v>
      </c>
      <c r="K24" s="23">
        <f>215.6+8.6</f>
        <v>224.2</v>
      </c>
      <c r="L24" s="23">
        <v>9</v>
      </c>
      <c r="M24" s="23"/>
      <c r="N24" s="23">
        <f>152.8+280.7</f>
        <v>433.5</v>
      </c>
      <c r="O24" s="28"/>
      <c r="P24" s="23">
        <v>67.9</v>
      </c>
      <c r="Q24" s="28"/>
      <c r="R24" s="28">
        <v>6957.4</v>
      </c>
      <c r="S24" s="27">
        <v>1608.8</v>
      </c>
      <c r="T24" s="27">
        <v>2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21602.7</v>
      </c>
      <c r="AE24" s="28">
        <f t="shared" si="3"/>
        <v>1758.2000000000007</v>
      </c>
    </row>
    <row r="25" spans="1:31" s="71" customFormat="1" ht="15" customHeight="1">
      <c r="A25" s="66" t="s">
        <v>56</v>
      </c>
      <c r="B25" s="67">
        <f>15543.3+1592.9</f>
        <v>17136.2</v>
      </c>
      <c r="C25" s="67">
        <v>348.1</v>
      </c>
      <c r="D25" s="67"/>
      <c r="E25" s="67">
        <v>346.7</v>
      </c>
      <c r="F25" s="67">
        <v>1.4</v>
      </c>
      <c r="G25" s="67"/>
      <c r="H25" s="67"/>
      <c r="I25" s="67">
        <v>2032.6</v>
      </c>
      <c r="J25" s="69">
        <v>5166.1</v>
      </c>
      <c r="K25" s="67">
        <v>215.6</v>
      </c>
      <c r="L25" s="67">
        <v>8.9</v>
      </c>
      <c r="M25" s="67"/>
      <c r="N25" s="67">
        <v>280.6</v>
      </c>
      <c r="O25" s="70"/>
      <c r="P25" s="67">
        <v>67.9</v>
      </c>
      <c r="Q25" s="70"/>
      <c r="R25" s="70">
        <v>6901.6</v>
      </c>
      <c r="S25" s="69">
        <v>1571.1</v>
      </c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16592.5</v>
      </c>
      <c r="AE25" s="72">
        <f t="shared" si="3"/>
        <v>891.7999999999993</v>
      </c>
    </row>
    <row r="26" spans="1:32" ht="15.75">
      <c r="A26" s="3" t="s">
        <v>5</v>
      </c>
      <c r="B26" s="23">
        <f>11989.8+4252.4-742+40.8+37.7</f>
        <v>15578.699999999999</v>
      </c>
      <c r="C26" s="23">
        <v>4</v>
      </c>
      <c r="D26" s="23"/>
      <c r="E26" s="23">
        <v>194.2</v>
      </c>
      <c r="F26" s="23">
        <v>4252.2</v>
      </c>
      <c r="G26" s="23"/>
      <c r="H26" s="23"/>
      <c r="I26" s="23">
        <v>32.7</v>
      </c>
      <c r="J26" s="27">
        <v>5166.1</v>
      </c>
      <c r="K26" s="23"/>
      <c r="L26" s="23"/>
      <c r="M26" s="23"/>
      <c r="N26" s="23"/>
      <c r="O26" s="28"/>
      <c r="P26" s="23"/>
      <c r="Q26" s="28"/>
      <c r="R26" s="23">
        <v>5891.5</v>
      </c>
      <c r="S26" s="27">
        <v>37.7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15574.400000000001</v>
      </c>
      <c r="AE26" s="28">
        <f t="shared" si="3"/>
        <v>8.299999999997453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>
        <v>37.6</v>
      </c>
      <c r="F27" s="23"/>
      <c r="G27" s="23"/>
      <c r="H27" s="23"/>
      <c r="I27" s="23">
        <v>299.6</v>
      </c>
      <c r="J27" s="27"/>
      <c r="K27" s="23"/>
      <c r="L27" s="23"/>
      <c r="M27" s="23"/>
      <c r="N27" s="23">
        <v>50.4</v>
      </c>
      <c r="O27" s="28"/>
      <c r="P27" s="23">
        <v>17.9</v>
      </c>
      <c r="Q27" s="28"/>
      <c r="R27" s="23">
        <v>245.6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651.1</v>
      </c>
      <c r="AE27" s="28">
        <f t="shared" si="3"/>
        <v>999.5000000000001</v>
      </c>
    </row>
    <row r="28" spans="1:31" ht="15.75">
      <c r="A28" s="3" t="s">
        <v>1</v>
      </c>
      <c r="B28" s="23">
        <v>495.5</v>
      </c>
      <c r="C28" s="23">
        <v>17.2</v>
      </c>
      <c r="D28" s="23"/>
      <c r="E28" s="23"/>
      <c r="F28" s="23"/>
      <c r="G28" s="23"/>
      <c r="H28" s="23"/>
      <c r="I28" s="23">
        <v>242.1</v>
      </c>
      <c r="J28" s="27"/>
      <c r="K28" s="23"/>
      <c r="L28" s="23"/>
      <c r="M28" s="23"/>
      <c r="N28" s="23">
        <v>36.1</v>
      </c>
      <c r="O28" s="28"/>
      <c r="P28" s="23">
        <v>19.2</v>
      </c>
      <c r="Q28" s="28"/>
      <c r="R28" s="23">
        <v>171.7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469.09999999999997</v>
      </c>
      <c r="AE28" s="28">
        <f t="shared" si="3"/>
        <v>43.60000000000008</v>
      </c>
    </row>
    <row r="29" spans="1:31" ht="15.75">
      <c r="A29" s="3" t="s">
        <v>2</v>
      </c>
      <c r="B29" s="23">
        <f>890.4+518+742+1592.8+0.2</f>
        <v>3743.3999999999996</v>
      </c>
      <c r="C29" s="23">
        <v>81.6</v>
      </c>
      <c r="D29" s="23"/>
      <c r="E29" s="23"/>
      <c r="F29" s="23"/>
      <c r="G29" s="23">
        <v>104.4</v>
      </c>
      <c r="H29" s="23"/>
      <c r="I29" s="23">
        <v>1287.1</v>
      </c>
      <c r="J29" s="27">
        <v>2.2</v>
      </c>
      <c r="K29" s="23">
        <v>0.5</v>
      </c>
      <c r="L29" s="23">
        <v>9</v>
      </c>
      <c r="M29" s="23"/>
      <c r="N29" s="23">
        <v>338.9</v>
      </c>
      <c r="O29" s="28"/>
      <c r="P29" s="23"/>
      <c r="Q29" s="28"/>
      <c r="R29" s="23">
        <v>138.1</v>
      </c>
      <c r="S29" s="27">
        <v>1558.4</v>
      </c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3438.6</v>
      </c>
      <c r="AE29" s="28">
        <f t="shared" si="3"/>
        <v>386.39999999999964</v>
      </c>
    </row>
    <row r="30" spans="1:31" ht="15.75">
      <c r="A30" s="3" t="s">
        <v>17</v>
      </c>
      <c r="B30" s="23">
        <v>150.8</v>
      </c>
      <c r="C30" s="23">
        <v>6.4</v>
      </c>
      <c r="D30" s="23"/>
      <c r="E30" s="23"/>
      <c r="F30" s="23"/>
      <c r="G30" s="23"/>
      <c r="H30" s="23"/>
      <c r="I30" s="23">
        <v>89.8</v>
      </c>
      <c r="J30" s="27"/>
      <c r="K30" s="23"/>
      <c r="L30" s="23"/>
      <c r="M30" s="23"/>
      <c r="N30" s="23"/>
      <c r="O30" s="28"/>
      <c r="P30" s="23"/>
      <c r="Q30" s="28"/>
      <c r="R30" s="23">
        <v>44.2</v>
      </c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134</v>
      </c>
      <c r="AE30" s="28">
        <f t="shared" si="3"/>
        <v>23.200000000000017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1361.1000000000024</v>
      </c>
      <c r="C32" s="23">
        <f t="shared" si="5"/>
        <v>271.60000000000014</v>
      </c>
      <c r="D32" s="23">
        <f t="shared" si="5"/>
        <v>0</v>
      </c>
      <c r="E32" s="23">
        <f t="shared" si="5"/>
        <v>120.70000000000002</v>
      </c>
      <c r="F32" s="23">
        <f t="shared" si="5"/>
        <v>270.8000000000002</v>
      </c>
      <c r="G32" s="23">
        <f t="shared" si="5"/>
        <v>0</v>
      </c>
      <c r="H32" s="23">
        <f t="shared" si="5"/>
        <v>0</v>
      </c>
      <c r="I32" s="23">
        <f t="shared" si="5"/>
        <v>200.40000000000026</v>
      </c>
      <c r="J32" s="23">
        <f t="shared" si="5"/>
        <v>-1.8207657603852567E-13</v>
      </c>
      <c r="K32" s="23">
        <f t="shared" si="5"/>
        <v>223.7</v>
      </c>
      <c r="L32" s="23">
        <f t="shared" si="5"/>
        <v>0</v>
      </c>
      <c r="M32" s="23">
        <f t="shared" si="5"/>
        <v>0</v>
      </c>
      <c r="N32" s="23">
        <f t="shared" si="5"/>
        <v>8.100000000000023</v>
      </c>
      <c r="O32" s="23">
        <f t="shared" si="5"/>
        <v>0</v>
      </c>
      <c r="P32" s="23">
        <f t="shared" si="5"/>
        <v>30.800000000000008</v>
      </c>
      <c r="Q32" s="23">
        <f t="shared" si="5"/>
        <v>0</v>
      </c>
      <c r="R32" s="23">
        <f t="shared" si="5"/>
        <v>466.29999999999967</v>
      </c>
      <c r="S32" s="23">
        <f t="shared" si="5"/>
        <v>12.699999999999818</v>
      </c>
      <c r="T32" s="23">
        <f t="shared" si="5"/>
        <v>2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1335.4999999999998</v>
      </c>
      <c r="AE32" s="28">
        <f>AE24-AE26-AE27-AE28-AE29-AE30-AE31</f>
        <v>297.20000000000346</v>
      </c>
    </row>
    <row r="33" spans="1:31" ht="15" customHeight="1">
      <c r="A33" s="4" t="s">
        <v>8</v>
      </c>
      <c r="B33" s="23">
        <f>1579.9+44-0.1</f>
        <v>1623.8000000000002</v>
      </c>
      <c r="C33" s="23">
        <v>106.1</v>
      </c>
      <c r="D33" s="23"/>
      <c r="E33" s="23"/>
      <c r="F33" s="23"/>
      <c r="G33" s="23"/>
      <c r="H33" s="23">
        <v>46.8</v>
      </c>
      <c r="I33" s="23"/>
      <c r="J33" s="27">
        <v>10.3</v>
      </c>
      <c r="K33" s="23"/>
      <c r="L33" s="23">
        <v>27.4</v>
      </c>
      <c r="M33" s="23"/>
      <c r="N33" s="23"/>
      <c r="O33" s="28"/>
      <c r="P33" s="23">
        <v>2.3</v>
      </c>
      <c r="Q33" s="28"/>
      <c r="R33" s="23">
        <v>82.5</v>
      </c>
      <c r="S33" s="27"/>
      <c r="T33" s="27">
        <v>2.8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172.10000000000002</v>
      </c>
      <c r="AE33" s="28">
        <f aca="true" t="shared" si="6" ref="AE33:AE38">B33+C33-AD33</f>
        <v>1557.8000000000002</v>
      </c>
    </row>
    <row r="34" spans="1:31" ht="15.75">
      <c r="A34" s="3" t="s">
        <v>5</v>
      </c>
      <c r="B34" s="23">
        <v>135.6</v>
      </c>
      <c r="C34" s="23">
        <v>4.7</v>
      </c>
      <c r="D34" s="23"/>
      <c r="E34" s="23"/>
      <c r="F34" s="23"/>
      <c r="G34" s="23"/>
      <c r="H34" s="23">
        <v>46.8</v>
      </c>
      <c r="I34" s="23"/>
      <c r="J34" s="27"/>
      <c r="K34" s="23"/>
      <c r="L34" s="23">
        <v>1.2</v>
      </c>
      <c r="M34" s="23"/>
      <c r="N34" s="23"/>
      <c r="O34" s="23"/>
      <c r="P34" s="23"/>
      <c r="Q34" s="28"/>
      <c r="R34" s="23">
        <v>82.5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130.5</v>
      </c>
      <c r="AE34" s="28">
        <f t="shared" si="6"/>
        <v>9.799999999999983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20.2+44</f>
        <v>64.2</v>
      </c>
      <c r="C36" s="23">
        <v>23.9</v>
      </c>
      <c r="D36" s="23"/>
      <c r="E36" s="23"/>
      <c r="F36" s="23"/>
      <c r="G36" s="23"/>
      <c r="H36" s="23"/>
      <c r="I36" s="23"/>
      <c r="J36" s="27">
        <v>10.3</v>
      </c>
      <c r="K36" s="23"/>
      <c r="L36" s="23">
        <v>25.7</v>
      </c>
      <c r="M36" s="23"/>
      <c r="N36" s="23"/>
      <c r="O36" s="28"/>
      <c r="P36" s="23"/>
      <c r="Q36" s="28"/>
      <c r="R36" s="23"/>
      <c r="S36" s="27"/>
      <c r="T36" s="27">
        <v>2.8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38.8</v>
      </c>
      <c r="AE36" s="28">
        <f t="shared" si="6"/>
        <v>49.3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24.000000000000227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0.5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2.3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2.8</v>
      </c>
      <c r="AE39" s="28">
        <f>AE33-AE34-AE36-AE38-AE35-AE37</f>
        <v>98.70000000000027</v>
      </c>
    </row>
    <row r="40" spans="1:31" ht="15" customHeight="1">
      <c r="A40" s="4" t="s">
        <v>34</v>
      </c>
      <c r="B40" s="23">
        <f>519.9-2.4</f>
        <v>517.5</v>
      </c>
      <c r="C40" s="23">
        <v>83.9</v>
      </c>
      <c r="D40" s="23"/>
      <c r="E40" s="23"/>
      <c r="F40" s="23"/>
      <c r="G40" s="23"/>
      <c r="H40" s="23"/>
      <c r="I40" s="23">
        <v>282</v>
      </c>
      <c r="J40" s="27"/>
      <c r="K40" s="23">
        <v>1.9</v>
      </c>
      <c r="L40" s="23">
        <v>4.8</v>
      </c>
      <c r="M40" s="23">
        <v>3.2</v>
      </c>
      <c r="N40" s="23"/>
      <c r="O40" s="28"/>
      <c r="P40" s="23"/>
      <c r="Q40" s="28"/>
      <c r="R40" s="28">
        <v>261.3</v>
      </c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553.7</v>
      </c>
      <c r="AE40" s="28">
        <f aca="true" t="shared" si="8" ref="AE40:AE45">B40+C40-AD40</f>
        <v>47.69999999999993</v>
      </c>
    </row>
    <row r="41" spans="1:32" ht="15.75">
      <c r="A41" s="3" t="s">
        <v>5</v>
      </c>
      <c r="B41" s="23">
        <f>466.9+17.7</f>
        <v>484.59999999999997</v>
      </c>
      <c r="C41" s="23">
        <v>19.2</v>
      </c>
      <c r="D41" s="23"/>
      <c r="E41" s="23"/>
      <c r="F41" s="23"/>
      <c r="G41" s="23"/>
      <c r="H41" s="23"/>
      <c r="I41" s="23">
        <v>238.6</v>
      </c>
      <c r="J41" s="27"/>
      <c r="K41" s="23"/>
      <c r="L41" s="23"/>
      <c r="M41" s="23"/>
      <c r="N41" s="23"/>
      <c r="O41" s="28"/>
      <c r="P41" s="23"/>
      <c r="Q41" s="28"/>
      <c r="R41" s="23">
        <v>255.9</v>
      </c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494.5</v>
      </c>
      <c r="AE41" s="28">
        <f t="shared" si="8"/>
        <v>9.299999999999955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>
        <v>4.6</v>
      </c>
      <c r="J43" s="27"/>
      <c r="K43" s="23">
        <v>1.1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5.699999999999999</v>
      </c>
      <c r="AE43" s="28">
        <f t="shared" si="8"/>
        <v>3.8000000000000007</v>
      </c>
    </row>
    <row r="44" spans="1:31" ht="15.75">
      <c r="A44" s="3" t="s">
        <v>2</v>
      </c>
      <c r="B44" s="23">
        <f>21.8-11.2</f>
        <v>10.600000000000001</v>
      </c>
      <c r="C44" s="23">
        <v>35</v>
      </c>
      <c r="D44" s="23"/>
      <c r="E44" s="23"/>
      <c r="F44" s="23"/>
      <c r="G44" s="23"/>
      <c r="H44" s="23"/>
      <c r="I44" s="23">
        <v>34.4</v>
      </c>
      <c r="J44" s="27"/>
      <c r="K44" s="23"/>
      <c r="L44" s="23"/>
      <c r="M44" s="23"/>
      <c r="N44" s="23"/>
      <c r="O44" s="28"/>
      <c r="P44" s="23"/>
      <c r="Q44" s="28"/>
      <c r="R44" s="23">
        <v>3.4</v>
      </c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37.8</v>
      </c>
      <c r="AE44" s="28">
        <f t="shared" si="8"/>
        <v>7.800000000000004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16.500000000000032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4.400000000000006</v>
      </c>
      <c r="J46" s="23">
        <f t="shared" si="10"/>
        <v>0</v>
      </c>
      <c r="K46" s="23">
        <f t="shared" si="10"/>
        <v>0.7999999999999998</v>
      </c>
      <c r="L46" s="23">
        <f t="shared" si="10"/>
        <v>4.8</v>
      </c>
      <c r="M46" s="23">
        <f t="shared" si="10"/>
        <v>3.2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2.0000000000000058</v>
      </c>
      <c r="S46" s="23">
        <f t="shared" si="10"/>
        <v>0</v>
      </c>
      <c r="T46" s="23">
        <f t="shared" si="10"/>
        <v>0.5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15.700000000000012</v>
      </c>
      <c r="AE46" s="28">
        <f>AE40-AE41-AE42-AE43-AE44-AE45</f>
        <v>26.799999999999976</v>
      </c>
    </row>
    <row r="47" spans="1:31" ht="17.25" customHeight="1">
      <c r="A47" s="4" t="s">
        <v>15</v>
      </c>
      <c r="B47" s="37">
        <f>985.5+6.6</f>
        <v>992.1</v>
      </c>
      <c r="C47" s="23">
        <v>957.6</v>
      </c>
      <c r="D47" s="23"/>
      <c r="E47" s="29"/>
      <c r="F47" s="29"/>
      <c r="G47" s="29">
        <v>8.2</v>
      </c>
      <c r="H47" s="29"/>
      <c r="I47" s="29">
        <v>6</v>
      </c>
      <c r="J47" s="30">
        <v>105.4</v>
      </c>
      <c r="K47" s="29"/>
      <c r="L47" s="29">
        <v>20.4</v>
      </c>
      <c r="M47" s="29"/>
      <c r="N47" s="29"/>
      <c r="O47" s="32">
        <v>101.6</v>
      </c>
      <c r="P47" s="29">
        <v>1.7</v>
      </c>
      <c r="Q47" s="29">
        <v>242.6</v>
      </c>
      <c r="R47" s="29"/>
      <c r="S47" s="30">
        <v>23</v>
      </c>
      <c r="T47" s="30">
        <v>30.4</v>
      </c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539.3</v>
      </c>
      <c r="AE47" s="28">
        <f>B47+C47-AD47</f>
        <v>1410.4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890.2+6.5</f>
        <v>896.7</v>
      </c>
      <c r="C49" s="23">
        <v>917.6</v>
      </c>
      <c r="D49" s="23"/>
      <c r="E49" s="23"/>
      <c r="F49" s="23"/>
      <c r="G49" s="23">
        <v>8.1</v>
      </c>
      <c r="H49" s="23"/>
      <c r="I49" s="23">
        <v>5.9</v>
      </c>
      <c r="J49" s="27">
        <v>105.3</v>
      </c>
      <c r="K49" s="23"/>
      <c r="L49" s="23">
        <v>20.3</v>
      </c>
      <c r="M49" s="23"/>
      <c r="N49" s="23"/>
      <c r="O49" s="28">
        <v>100.8</v>
      </c>
      <c r="P49" s="23">
        <v>1.7</v>
      </c>
      <c r="Q49" s="23">
        <v>215.8</v>
      </c>
      <c r="R49" s="23"/>
      <c r="S49" s="27">
        <v>10</v>
      </c>
      <c r="T49" s="27">
        <v>30.4</v>
      </c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498.29999999999995</v>
      </c>
      <c r="AE49" s="28">
        <f>B49+C49-AD49</f>
        <v>1316.0000000000002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95.39999999999998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0.09999999999999964</v>
      </c>
      <c r="H51" s="23">
        <f t="shared" si="11"/>
        <v>0</v>
      </c>
      <c r="I51" s="23">
        <f t="shared" si="11"/>
        <v>0.09999999999999964</v>
      </c>
      <c r="J51" s="23">
        <f t="shared" si="11"/>
        <v>0.10000000000000853</v>
      </c>
      <c r="K51" s="23">
        <f t="shared" si="11"/>
        <v>0</v>
      </c>
      <c r="L51" s="23">
        <f t="shared" si="11"/>
        <v>0.09999999999999787</v>
      </c>
      <c r="M51" s="23">
        <f t="shared" si="11"/>
        <v>0</v>
      </c>
      <c r="N51" s="23">
        <f t="shared" si="11"/>
        <v>0</v>
      </c>
      <c r="O51" s="23">
        <f t="shared" si="11"/>
        <v>0.7999999999999972</v>
      </c>
      <c r="P51" s="23">
        <f t="shared" si="11"/>
        <v>0</v>
      </c>
      <c r="Q51" s="23">
        <f t="shared" si="11"/>
        <v>26.799999999999983</v>
      </c>
      <c r="R51" s="23">
        <f t="shared" si="11"/>
        <v>0</v>
      </c>
      <c r="S51" s="23">
        <f t="shared" si="11"/>
        <v>13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40.999999999999986</v>
      </c>
      <c r="AE51" s="28">
        <f>AE47-AE49-AE48</f>
        <v>94.39999999999986</v>
      </c>
    </row>
    <row r="52" spans="1:31" ht="15" customHeight="1">
      <c r="A52" s="4" t="s">
        <v>0</v>
      </c>
      <c r="B52" s="23">
        <v>3835</v>
      </c>
      <c r="C52" s="23">
        <v>419</v>
      </c>
      <c r="D52" s="23">
        <v>2728.6</v>
      </c>
      <c r="E52" s="23"/>
      <c r="F52" s="23">
        <v>200.9</v>
      </c>
      <c r="G52" s="23">
        <v>23.9</v>
      </c>
      <c r="H52" s="23"/>
      <c r="I52" s="23"/>
      <c r="J52" s="27">
        <v>266.8</v>
      </c>
      <c r="K52" s="23"/>
      <c r="L52" s="23">
        <v>7.4</v>
      </c>
      <c r="M52" s="23">
        <v>4.8</v>
      </c>
      <c r="N52" s="23"/>
      <c r="O52" s="28"/>
      <c r="P52" s="23">
        <v>52.9</v>
      </c>
      <c r="Q52" s="23">
        <v>119.5</v>
      </c>
      <c r="R52" s="23"/>
      <c r="S52" s="27"/>
      <c r="T52" s="27"/>
      <c r="U52" s="27">
        <v>63.8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3468.600000000001</v>
      </c>
      <c r="AE52" s="28">
        <f aca="true" t="shared" si="12" ref="AE52:AE59">B52+C52-AD52</f>
        <v>785.3999999999992</v>
      </c>
    </row>
    <row r="53" spans="1:31" ht="15" customHeight="1">
      <c r="A53" s="3" t="s">
        <v>2</v>
      </c>
      <c r="B53" s="23">
        <v>413.9</v>
      </c>
      <c r="C53" s="23">
        <v>200.6</v>
      </c>
      <c r="D53" s="23"/>
      <c r="E53" s="23"/>
      <c r="F53" s="23">
        <v>0.9</v>
      </c>
      <c r="G53" s="23"/>
      <c r="H53" s="23"/>
      <c r="I53" s="23"/>
      <c r="J53" s="27">
        <v>266.8</v>
      </c>
      <c r="K53" s="23"/>
      <c r="L53" s="23">
        <v>7.4</v>
      </c>
      <c r="M53" s="23">
        <v>4.8</v>
      </c>
      <c r="N53" s="23"/>
      <c r="O53" s="28"/>
      <c r="P53" s="23">
        <v>52.9</v>
      </c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332.79999999999995</v>
      </c>
      <c r="AE53" s="28">
        <f t="shared" si="12"/>
        <v>281.70000000000005</v>
      </c>
    </row>
    <row r="54" spans="1:32" ht="15" customHeight="1">
      <c r="A54" s="4" t="s">
        <v>9</v>
      </c>
      <c r="B54" s="45">
        <f>3452.1+250.4</f>
        <v>3702.5</v>
      </c>
      <c r="C54" s="23">
        <v>796.1</v>
      </c>
      <c r="D54" s="23"/>
      <c r="E54" s="23">
        <v>389.9</v>
      </c>
      <c r="F54" s="23"/>
      <c r="G54" s="23">
        <v>113.4</v>
      </c>
      <c r="H54" s="23"/>
      <c r="I54" s="23">
        <v>1225.3</v>
      </c>
      <c r="J54" s="27">
        <v>70.3</v>
      </c>
      <c r="K54" s="23">
        <v>0.3</v>
      </c>
      <c r="L54" s="23">
        <v>50</v>
      </c>
      <c r="M54" s="23">
        <v>117.8</v>
      </c>
      <c r="N54" s="23"/>
      <c r="O54" s="28">
        <v>123</v>
      </c>
      <c r="P54" s="23">
        <v>8.5</v>
      </c>
      <c r="Q54" s="28">
        <v>1422.9</v>
      </c>
      <c r="R54" s="23">
        <v>53.8</v>
      </c>
      <c r="S54" s="27">
        <v>21.2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3596.4</v>
      </c>
      <c r="AE54" s="23">
        <f t="shared" si="12"/>
        <v>902.2000000000003</v>
      </c>
      <c r="AF54" s="6"/>
    </row>
    <row r="55" spans="1:32" ht="15.75">
      <c r="A55" s="3" t="s">
        <v>5</v>
      </c>
      <c r="B55" s="23">
        <f>2515.8+34.3+66</f>
        <v>2616.1000000000004</v>
      </c>
      <c r="C55" s="23">
        <v>75.7</v>
      </c>
      <c r="D55" s="23"/>
      <c r="E55" s="23"/>
      <c r="F55" s="23"/>
      <c r="G55" s="23"/>
      <c r="H55" s="23"/>
      <c r="I55" s="23">
        <v>1196.2</v>
      </c>
      <c r="J55" s="27"/>
      <c r="K55" s="23"/>
      <c r="L55" s="23"/>
      <c r="M55" s="23"/>
      <c r="N55" s="23"/>
      <c r="O55" s="28"/>
      <c r="P55" s="23"/>
      <c r="Q55" s="28">
        <v>1414.6</v>
      </c>
      <c r="R55" s="23">
        <v>52.8</v>
      </c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2663.6000000000004</v>
      </c>
      <c r="AE55" s="23">
        <f t="shared" si="12"/>
        <v>28.199999999999818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91.9+250.5-34.3-52</f>
        <v>256.09999999999997</v>
      </c>
      <c r="C57" s="23">
        <v>171.7</v>
      </c>
      <c r="D57" s="23"/>
      <c r="E57" s="23"/>
      <c r="F57" s="23"/>
      <c r="G57" s="23">
        <v>21</v>
      </c>
      <c r="H57" s="23"/>
      <c r="I57" s="23">
        <v>12.1</v>
      </c>
      <c r="J57" s="27">
        <v>42.3</v>
      </c>
      <c r="K57" s="23">
        <v>0.3</v>
      </c>
      <c r="L57" s="23">
        <v>5.6</v>
      </c>
      <c r="M57" s="23">
        <v>0.6</v>
      </c>
      <c r="N57" s="23"/>
      <c r="O57" s="28">
        <v>7.9</v>
      </c>
      <c r="P57" s="23"/>
      <c r="Q57" s="28">
        <v>5.6</v>
      </c>
      <c r="R57" s="23"/>
      <c r="S57" s="27">
        <v>4.3</v>
      </c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99.69999999999999</v>
      </c>
      <c r="AE57" s="23">
        <f t="shared" si="12"/>
        <v>328.09999999999997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3.4</v>
      </c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826.8999999999997</v>
      </c>
      <c r="C60" s="23">
        <f t="shared" si="13"/>
        <v>528.7</v>
      </c>
      <c r="D60" s="23">
        <f t="shared" si="13"/>
        <v>0</v>
      </c>
      <c r="E60" s="23">
        <f t="shared" si="13"/>
        <v>389.9</v>
      </c>
      <c r="F60" s="23">
        <f t="shared" si="13"/>
        <v>0</v>
      </c>
      <c r="G60" s="23">
        <f t="shared" si="13"/>
        <v>92.4</v>
      </c>
      <c r="H60" s="23">
        <f t="shared" si="13"/>
        <v>0</v>
      </c>
      <c r="I60" s="23">
        <f t="shared" si="13"/>
        <v>16.999999999999908</v>
      </c>
      <c r="J60" s="23">
        <f t="shared" si="13"/>
        <v>28</v>
      </c>
      <c r="K60" s="23">
        <f t="shared" si="13"/>
        <v>0</v>
      </c>
      <c r="L60" s="23">
        <f t="shared" si="13"/>
        <v>41</v>
      </c>
      <c r="M60" s="23">
        <f t="shared" si="13"/>
        <v>117.2</v>
      </c>
      <c r="N60" s="23">
        <f t="shared" si="13"/>
        <v>0</v>
      </c>
      <c r="O60" s="23">
        <f t="shared" si="13"/>
        <v>115.1</v>
      </c>
      <c r="P60" s="23">
        <f t="shared" si="13"/>
        <v>8.5</v>
      </c>
      <c r="Q60" s="23">
        <f t="shared" si="13"/>
        <v>2.7000000000001823</v>
      </c>
      <c r="R60" s="23">
        <f t="shared" si="13"/>
        <v>1</v>
      </c>
      <c r="S60" s="23">
        <f t="shared" si="13"/>
        <v>16.9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829.6999999999997</v>
      </c>
      <c r="AE60" s="23">
        <f>AE54-AE55-AE57-AE59-AE56-AE58</f>
        <v>525.9000000000005</v>
      </c>
    </row>
    <row r="61" spans="1:31" ht="15" customHeight="1">
      <c r="A61" s="4" t="s">
        <v>10</v>
      </c>
      <c r="B61" s="23">
        <f>59.2+15.1</f>
        <v>74.3</v>
      </c>
      <c r="C61" s="23">
        <v>68.2</v>
      </c>
      <c r="D61" s="23"/>
      <c r="E61" s="23"/>
      <c r="F61" s="23">
        <v>5.4</v>
      </c>
      <c r="G61" s="23"/>
      <c r="H61" s="23"/>
      <c r="I61" s="23"/>
      <c r="J61" s="27"/>
      <c r="K61" s="23"/>
      <c r="L61" s="23"/>
      <c r="M61" s="23">
        <v>5.6</v>
      </c>
      <c r="N61" s="23"/>
      <c r="O61" s="28">
        <v>7.8</v>
      </c>
      <c r="P61" s="23"/>
      <c r="Q61" s="28">
        <v>24.4</v>
      </c>
      <c r="R61" s="23"/>
      <c r="S61" s="27">
        <v>6.4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92.9</v>
      </c>
    </row>
    <row r="62" spans="1:31" ht="15" customHeight="1">
      <c r="A62" s="4" t="s">
        <v>11</v>
      </c>
      <c r="B62" s="23">
        <v>1305.5</v>
      </c>
      <c r="C62" s="23">
        <v>713.8</v>
      </c>
      <c r="D62" s="23">
        <v>7.3</v>
      </c>
      <c r="E62" s="23"/>
      <c r="F62" s="23"/>
      <c r="G62" s="23"/>
      <c r="H62" s="23">
        <v>340.2</v>
      </c>
      <c r="I62" s="23"/>
      <c r="J62" s="27">
        <v>125.4</v>
      </c>
      <c r="K62" s="23"/>
      <c r="L62" s="23">
        <v>0.6</v>
      </c>
      <c r="M62" s="23"/>
      <c r="N62" s="23"/>
      <c r="O62" s="28">
        <v>0.7</v>
      </c>
      <c r="P62" s="23">
        <v>104.5</v>
      </c>
      <c r="Q62" s="28"/>
      <c r="R62" s="23">
        <v>599.5</v>
      </c>
      <c r="S62" s="27"/>
      <c r="T62" s="27">
        <v>27.8</v>
      </c>
      <c r="U62" s="27">
        <v>16.3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1222.3</v>
      </c>
      <c r="AE62" s="23">
        <f t="shared" si="15"/>
        <v>797</v>
      </c>
    </row>
    <row r="63" spans="1:32" ht="15.75">
      <c r="A63" s="3" t="s">
        <v>5</v>
      </c>
      <c r="B63" s="23">
        <f>856.7+3.3</f>
        <v>860</v>
      </c>
      <c r="C63" s="23">
        <v>78.2</v>
      </c>
      <c r="D63" s="23"/>
      <c r="E63" s="23"/>
      <c r="F63" s="23"/>
      <c r="G63" s="23"/>
      <c r="H63" s="23">
        <v>272.6</v>
      </c>
      <c r="I63" s="23"/>
      <c r="J63" s="27"/>
      <c r="K63" s="23"/>
      <c r="L63" s="23"/>
      <c r="M63" s="23"/>
      <c r="N63" s="23"/>
      <c r="O63" s="28"/>
      <c r="P63" s="23"/>
      <c r="Q63" s="28"/>
      <c r="R63" s="23">
        <v>486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758.6</v>
      </c>
      <c r="AE63" s="23">
        <f t="shared" si="15"/>
        <v>179.60000000000002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>
        <v>17.6</v>
      </c>
      <c r="K65" s="23"/>
      <c r="L65" s="23"/>
      <c r="M65" s="23"/>
      <c r="N65" s="23"/>
      <c r="O65" s="28"/>
      <c r="P65" s="23">
        <v>12.8</v>
      </c>
      <c r="Q65" s="28"/>
      <c r="R65" s="23"/>
      <c r="S65" s="27"/>
      <c r="T65" s="27">
        <v>4</v>
      </c>
      <c r="U65" s="27">
        <v>10.7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45.10000000000001</v>
      </c>
      <c r="AE65" s="23">
        <f t="shared" si="15"/>
        <v>25.999999999999986</v>
      </c>
      <c r="AF65" s="6"/>
    </row>
    <row r="66" spans="1:31" ht="15.75">
      <c r="A66" s="3" t="s">
        <v>2</v>
      </c>
      <c r="B66" s="23">
        <f>64.7+6.1</f>
        <v>70.8</v>
      </c>
      <c r="C66" s="23">
        <v>1.1</v>
      </c>
      <c r="D66" s="23">
        <v>7.3</v>
      </c>
      <c r="E66" s="23"/>
      <c r="F66" s="23"/>
      <c r="G66" s="23"/>
      <c r="H66" s="23"/>
      <c r="I66" s="23"/>
      <c r="J66" s="27">
        <v>44.6</v>
      </c>
      <c r="K66" s="23"/>
      <c r="L66" s="23">
        <v>0.6</v>
      </c>
      <c r="M66" s="23"/>
      <c r="N66" s="23"/>
      <c r="O66" s="28">
        <v>0.7</v>
      </c>
      <c r="P66" s="23">
        <v>4.7</v>
      </c>
      <c r="Q66" s="23"/>
      <c r="R66" s="23"/>
      <c r="S66" s="27"/>
      <c r="T66" s="27">
        <v>3.3</v>
      </c>
      <c r="U66" s="27">
        <v>0.6</v>
      </c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61.800000000000004</v>
      </c>
      <c r="AE66" s="23">
        <f t="shared" si="15"/>
        <v>10.099999999999987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344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67.59999999999997</v>
      </c>
      <c r="I68" s="23">
        <f t="shared" si="16"/>
        <v>0</v>
      </c>
      <c r="J68" s="23">
        <f t="shared" si="16"/>
        <v>63.20000000000001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87</v>
      </c>
      <c r="Q68" s="23">
        <f t="shared" si="16"/>
        <v>0</v>
      </c>
      <c r="R68" s="23">
        <f t="shared" si="16"/>
        <v>113.5</v>
      </c>
      <c r="S68" s="23">
        <f t="shared" si="16"/>
        <v>0</v>
      </c>
      <c r="T68" s="23">
        <f t="shared" si="16"/>
        <v>20.5</v>
      </c>
      <c r="U68" s="23">
        <f t="shared" si="16"/>
        <v>5.000000000000002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356.79999999999995</v>
      </c>
      <c r="AE68" s="23">
        <f>AE62-AE63-AE66-AE67-AE65-AE64</f>
        <v>581.3</v>
      </c>
    </row>
    <row r="69" spans="1:31" ht="31.5">
      <c r="A69" s="4" t="s">
        <v>33</v>
      </c>
      <c r="B69" s="23">
        <v>6.1</v>
      </c>
      <c r="C69" s="23">
        <v>588</v>
      </c>
      <c r="D69" s="23"/>
      <c r="E69" s="23"/>
      <c r="F69" s="23">
        <v>11.4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>
        <v>16.5</v>
      </c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27.9</v>
      </c>
      <c r="AE69" s="31">
        <f aca="true" t="shared" si="17" ref="AE69:AE91">B69+C69-AD69</f>
        <v>566.2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>
        <v>5.5</v>
      </c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855.8-42.9-0.4</f>
        <v>812.5</v>
      </c>
      <c r="C72" s="23">
        <v>1899.8</v>
      </c>
      <c r="D72" s="23">
        <v>4.6</v>
      </c>
      <c r="E72" s="23">
        <v>6.6</v>
      </c>
      <c r="F72" s="23">
        <v>92.5</v>
      </c>
      <c r="G72" s="23"/>
      <c r="H72" s="23">
        <v>14.7</v>
      </c>
      <c r="I72" s="23">
        <f>11.5+31.5</f>
        <v>43</v>
      </c>
      <c r="J72" s="27"/>
      <c r="K72" s="23">
        <v>2.2</v>
      </c>
      <c r="L72" s="23">
        <v>16.2</v>
      </c>
      <c r="M72" s="23">
        <v>3.6</v>
      </c>
      <c r="N72" s="23">
        <v>0.6</v>
      </c>
      <c r="O72" s="23"/>
      <c r="P72" s="23">
        <v>1.6</v>
      </c>
      <c r="Q72" s="28">
        <v>3.2</v>
      </c>
      <c r="R72" s="23">
        <v>102.9</v>
      </c>
      <c r="S72" s="27">
        <v>19.4</v>
      </c>
      <c r="T72" s="27">
        <v>12.9</v>
      </c>
      <c r="U72" s="27">
        <v>2.8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326.7999999999999</v>
      </c>
      <c r="AE72" s="31">
        <f t="shared" si="17"/>
        <v>2385.5000000000005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>
        <v>16.7</v>
      </c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>
        <v>58.1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58.1</v>
      </c>
      <c r="AE74" s="31">
        <f t="shared" si="17"/>
        <v>127.19999999999999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>
        <v>41.9</v>
      </c>
      <c r="G75" s="29"/>
      <c r="H75" s="29"/>
      <c r="I75" s="29"/>
      <c r="J75" s="30"/>
      <c r="K75" s="29"/>
      <c r="L75" s="29">
        <v>8.4</v>
      </c>
      <c r="M75" s="29"/>
      <c r="N75" s="29"/>
      <c r="O75" s="29"/>
      <c r="P75" s="29">
        <v>558.1</v>
      </c>
      <c r="Q75" s="32"/>
      <c r="R75" s="29"/>
      <c r="S75" s="30"/>
      <c r="T75" s="30"/>
      <c r="U75" s="29">
        <v>33.1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641.5</v>
      </c>
      <c r="AE75" s="31">
        <f t="shared" si="17"/>
        <v>585.8</v>
      </c>
    </row>
    <row r="76" spans="1:31" s="11" customFormat="1" ht="15.75">
      <c r="A76" s="3" t="s">
        <v>5</v>
      </c>
      <c r="B76" s="23">
        <f>68.2+9.5</f>
        <v>77.7</v>
      </c>
      <c r="C76" s="23">
        <v>1.8</v>
      </c>
      <c r="D76" s="23"/>
      <c r="E76" s="29"/>
      <c r="F76" s="29">
        <v>41.5</v>
      </c>
      <c r="G76" s="29"/>
      <c r="H76" s="29"/>
      <c r="I76" s="29"/>
      <c r="J76" s="30"/>
      <c r="K76" s="29"/>
      <c r="L76" s="29"/>
      <c r="M76" s="29"/>
      <c r="N76" s="29"/>
      <c r="O76" s="29"/>
      <c r="P76" s="29">
        <v>4.2</v>
      </c>
      <c r="Q76" s="32"/>
      <c r="R76" s="29"/>
      <c r="S76" s="30"/>
      <c r="T76" s="30"/>
      <c r="U76" s="29">
        <v>33.1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78.80000000000001</v>
      </c>
      <c r="AE76" s="31">
        <f t="shared" si="17"/>
        <v>0.6999999999999886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>
        <v>0.4</v>
      </c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>
        <v>2094</v>
      </c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1726.3</v>
      </c>
      <c r="C87" s="23">
        <v>558.1</v>
      </c>
      <c r="D87" s="23"/>
      <c r="E87" s="23">
        <v>236</v>
      </c>
      <c r="F87" s="23"/>
      <c r="G87" s="23"/>
      <c r="H87" s="23"/>
      <c r="I87" s="23"/>
      <c r="J87" s="23">
        <v>112.9</v>
      </c>
      <c r="K87" s="23"/>
      <c r="L87" s="23"/>
      <c r="M87" s="23"/>
      <c r="N87" s="23"/>
      <c r="O87" s="23"/>
      <c r="P87" s="23"/>
      <c r="Q87" s="23"/>
      <c r="R87" s="23">
        <v>11.4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360.29999999999995</v>
      </c>
      <c r="AE87" s="23">
        <f t="shared" si="17"/>
        <v>1924.1000000000001</v>
      </c>
      <c r="AF87" s="11"/>
    </row>
    <row r="88" spans="1:32" ht="15.75">
      <c r="A88" s="4" t="s">
        <v>54</v>
      </c>
      <c r="B88" s="23">
        <v>700</v>
      </c>
      <c r="C88" s="23">
        <f>1858.7-1300</f>
        <v>558.7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1258.7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>
        <v>618.4</v>
      </c>
      <c r="H89" s="23"/>
      <c r="I89" s="23"/>
      <c r="J89" s="23"/>
      <c r="K89" s="23"/>
      <c r="L89" s="23"/>
      <c r="M89" s="23"/>
      <c r="N89" s="23">
        <v>618.4</v>
      </c>
      <c r="O89" s="23"/>
      <c r="P89" s="23"/>
      <c r="Q89" s="23"/>
      <c r="R89" s="23"/>
      <c r="S89" s="27"/>
      <c r="T89" s="27"/>
      <c r="U89" s="23">
        <v>618.5</v>
      </c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f>2219.8-2219.8</f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873.8+1315.6</f>
        <v>2189.3999999999996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2189.3999999999996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84488.70000000001</v>
      </c>
      <c r="C93" s="43">
        <f t="shared" si="18"/>
        <v>15738.300000000001</v>
      </c>
      <c r="D93" s="43">
        <f t="shared" si="18"/>
        <v>2746.4</v>
      </c>
      <c r="E93" s="43">
        <f t="shared" si="18"/>
        <v>1064.9</v>
      </c>
      <c r="F93" s="43">
        <f t="shared" si="18"/>
        <v>5226.999999999998</v>
      </c>
      <c r="G93" s="43">
        <f t="shared" si="18"/>
        <v>1253</v>
      </c>
      <c r="H93" s="43">
        <f t="shared" si="18"/>
        <v>6153.9</v>
      </c>
      <c r="I93" s="43">
        <f t="shared" si="18"/>
        <v>11295</v>
      </c>
      <c r="J93" s="43">
        <f t="shared" si="18"/>
        <v>10208.999999999998</v>
      </c>
      <c r="K93" s="43">
        <f t="shared" si="18"/>
        <v>252.7</v>
      </c>
      <c r="L93" s="43">
        <f t="shared" si="18"/>
        <v>1261.1000000000001</v>
      </c>
      <c r="M93" s="43">
        <f t="shared" si="18"/>
        <v>138.1</v>
      </c>
      <c r="N93" s="43">
        <f t="shared" si="18"/>
        <v>1108.2</v>
      </c>
      <c r="O93" s="43">
        <f t="shared" si="18"/>
        <v>245.3</v>
      </c>
      <c r="P93" s="43">
        <f t="shared" si="18"/>
        <v>1417.3</v>
      </c>
      <c r="Q93" s="43">
        <f t="shared" si="18"/>
        <v>10906.7</v>
      </c>
      <c r="R93" s="43">
        <f t="shared" si="18"/>
        <v>10726.699999999997</v>
      </c>
      <c r="S93" s="43">
        <f t="shared" si="18"/>
        <v>6750.5</v>
      </c>
      <c r="T93" s="43">
        <f t="shared" si="18"/>
        <v>128.10000000000002</v>
      </c>
      <c r="U93" s="43">
        <f t="shared" si="18"/>
        <v>5055.800000000001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75939.7</v>
      </c>
      <c r="AE93" s="59">
        <f>AE10+AE15+AE24+AE33+AE47+AE52+AE54+AE61+AE62+AE69+AE71+AE72+AE75+AE80+AE81+AE82+AE87+AE88+AE89+AE90+AE70+AE40+AE91</f>
        <v>24287.299999999996</v>
      </c>
    </row>
    <row r="94" spans="1:31" ht="15.75">
      <c r="A94" s="3" t="s">
        <v>5</v>
      </c>
      <c r="B94" s="23">
        <f aca="true" t="shared" si="19" ref="B94:AB94">B11+B17+B26+B34+B55+B63+B73+B41+B76</f>
        <v>47735.69999999999</v>
      </c>
      <c r="C94" s="23">
        <f t="shared" si="19"/>
        <v>1474.3</v>
      </c>
      <c r="D94" s="23">
        <f t="shared" si="19"/>
        <v>5.9</v>
      </c>
      <c r="E94" s="23">
        <f t="shared" si="19"/>
        <v>266.29999999999995</v>
      </c>
      <c r="F94" s="23">
        <f t="shared" si="19"/>
        <v>4293.7</v>
      </c>
      <c r="G94" s="23">
        <f t="shared" si="19"/>
        <v>370.4</v>
      </c>
      <c r="H94" s="23">
        <f t="shared" si="19"/>
        <v>3814.2</v>
      </c>
      <c r="I94" s="23">
        <f t="shared" si="19"/>
        <v>2022.1</v>
      </c>
      <c r="J94" s="23">
        <f t="shared" si="19"/>
        <v>9038.900000000001</v>
      </c>
      <c r="K94" s="23">
        <f t="shared" si="19"/>
        <v>17</v>
      </c>
      <c r="L94" s="23">
        <f t="shared" si="19"/>
        <v>7.5</v>
      </c>
      <c r="M94" s="23">
        <f t="shared" si="19"/>
        <v>0</v>
      </c>
      <c r="N94" s="23">
        <f t="shared" si="19"/>
        <v>54.5</v>
      </c>
      <c r="O94" s="23">
        <f t="shared" si="19"/>
        <v>0</v>
      </c>
      <c r="P94" s="23">
        <f t="shared" si="19"/>
        <v>4.2</v>
      </c>
      <c r="Q94" s="23">
        <f t="shared" si="19"/>
        <v>10458.1</v>
      </c>
      <c r="R94" s="23">
        <f t="shared" si="19"/>
        <v>8051.9</v>
      </c>
      <c r="S94" s="23">
        <f t="shared" si="19"/>
        <v>4978.599999999999</v>
      </c>
      <c r="T94" s="23">
        <f t="shared" si="19"/>
        <v>0</v>
      </c>
      <c r="U94" s="23">
        <f t="shared" si="19"/>
        <v>4304.3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47687.600000000006</v>
      </c>
      <c r="AE94" s="28">
        <f>B94+C94-AD94</f>
        <v>1522.399999999987</v>
      </c>
    </row>
    <row r="95" spans="1:31" ht="15.75">
      <c r="A95" s="3" t="s">
        <v>2</v>
      </c>
      <c r="B95" s="23">
        <f aca="true" t="shared" si="20" ref="B95:AB95">B12+B20+B29+B36+B57+B66+B44+B79+B74+B53</f>
        <v>14099.8</v>
      </c>
      <c r="C95" s="23">
        <f t="shared" si="20"/>
        <v>4244.4</v>
      </c>
      <c r="D95" s="23">
        <f t="shared" si="20"/>
        <v>7.3</v>
      </c>
      <c r="E95" s="23">
        <f t="shared" si="20"/>
        <v>0</v>
      </c>
      <c r="F95" s="23">
        <f t="shared" si="20"/>
        <v>62.1</v>
      </c>
      <c r="G95" s="23">
        <f t="shared" si="20"/>
        <v>125.4</v>
      </c>
      <c r="H95" s="23">
        <f t="shared" si="20"/>
        <v>22.2</v>
      </c>
      <c r="I95" s="23">
        <f t="shared" si="20"/>
        <v>8364.1</v>
      </c>
      <c r="J95" s="23">
        <f t="shared" si="20"/>
        <v>522.4</v>
      </c>
      <c r="K95" s="23">
        <f t="shared" si="20"/>
        <v>0.8</v>
      </c>
      <c r="L95" s="23">
        <f t="shared" si="20"/>
        <v>1076.1</v>
      </c>
      <c r="M95" s="23">
        <f t="shared" si="20"/>
        <v>5.3999999999999995</v>
      </c>
      <c r="N95" s="23">
        <f t="shared" si="20"/>
        <v>338.9</v>
      </c>
      <c r="O95" s="23">
        <f t="shared" si="20"/>
        <v>8.6</v>
      </c>
      <c r="P95" s="23">
        <f t="shared" si="20"/>
        <v>431.59999999999997</v>
      </c>
      <c r="Q95" s="23">
        <f t="shared" si="20"/>
        <v>14.2</v>
      </c>
      <c r="R95" s="23">
        <f t="shared" si="20"/>
        <v>1266.9</v>
      </c>
      <c r="S95" s="23">
        <f t="shared" si="20"/>
        <v>1668.6000000000001</v>
      </c>
      <c r="T95" s="23">
        <f t="shared" si="20"/>
        <v>53.3</v>
      </c>
      <c r="U95" s="23">
        <f t="shared" si="20"/>
        <v>4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13971.9</v>
      </c>
      <c r="AE95" s="28">
        <f>B95+C95-AD95</f>
        <v>4372.299999999997</v>
      </c>
    </row>
    <row r="96" spans="1:31" ht="15.75">
      <c r="A96" s="3" t="s">
        <v>3</v>
      </c>
      <c r="B96" s="23">
        <f aca="true" t="shared" si="21" ref="B96:Y96">B18+B27+B42+B64+B77</f>
        <v>1469.3</v>
      </c>
      <c r="C96" s="23">
        <f t="shared" si="21"/>
        <v>258.5</v>
      </c>
      <c r="D96" s="23">
        <f t="shared" si="21"/>
        <v>0</v>
      </c>
      <c r="E96" s="23">
        <f t="shared" si="21"/>
        <v>37.6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299.6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50.4</v>
      </c>
      <c r="O96" s="23">
        <f t="shared" si="21"/>
        <v>0</v>
      </c>
      <c r="P96" s="23">
        <f t="shared" si="21"/>
        <v>17.9</v>
      </c>
      <c r="Q96" s="23">
        <f t="shared" si="21"/>
        <v>0</v>
      </c>
      <c r="R96" s="23">
        <f t="shared" si="21"/>
        <v>245.6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651.1</v>
      </c>
      <c r="AE96" s="28">
        <f>B96+C96-AD96</f>
        <v>1076.6999999999998</v>
      </c>
    </row>
    <row r="97" spans="1:31" ht="15.75">
      <c r="A97" s="3" t="s">
        <v>1</v>
      </c>
      <c r="B97" s="23">
        <f aca="true" t="shared" si="22" ref="B97:Y97">B19+B28+B65+B35+B43+B56+B48+B78</f>
        <v>2368.3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318.9</v>
      </c>
      <c r="G97" s="23">
        <f t="shared" si="22"/>
        <v>0</v>
      </c>
      <c r="H97" s="23">
        <f t="shared" si="22"/>
        <v>131.5</v>
      </c>
      <c r="I97" s="23">
        <f t="shared" si="22"/>
        <v>246.7</v>
      </c>
      <c r="J97" s="23">
        <f t="shared" si="22"/>
        <v>322.90000000000003</v>
      </c>
      <c r="K97" s="23">
        <f t="shared" si="22"/>
        <v>1.1</v>
      </c>
      <c r="L97" s="23">
        <f t="shared" si="22"/>
        <v>2.4</v>
      </c>
      <c r="M97" s="23">
        <f t="shared" si="22"/>
        <v>0</v>
      </c>
      <c r="N97" s="23">
        <f t="shared" si="22"/>
        <v>36.1</v>
      </c>
      <c r="O97" s="23">
        <f t="shared" si="22"/>
        <v>0</v>
      </c>
      <c r="P97" s="23">
        <f t="shared" si="22"/>
        <v>242.7</v>
      </c>
      <c r="Q97" s="23">
        <f t="shared" si="22"/>
        <v>0</v>
      </c>
      <c r="R97" s="23">
        <f t="shared" si="22"/>
        <v>182.79999999999998</v>
      </c>
      <c r="S97" s="23">
        <f t="shared" si="22"/>
        <v>0</v>
      </c>
      <c r="T97" s="23">
        <f t="shared" si="22"/>
        <v>4</v>
      </c>
      <c r="U97" s="23">
        <f t="shared" si="22"/>
        <v>65.5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1554.6</v>
      </c>
      <c r="AE97" s="28">
        <f>B97+C97-AD97</f>
        <v>1658.2000000000003</v>
      </c>
    </row>
    <row r="98" spans="1:31" ht="15.75">
      <c r="A98" s="3" t="s">
        <v>17</v>
      </c>
      <c r="B98" s="23">
        <f aca="true" t="shared" si="23" ref="B98:AB98">B21+B30+B49+B37+B58+B13</f>
        <v>2592.7000000000003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3.8</v>
      </c>
      <c r="G98" s="23">
        <f t="shared" si="23"/>
        <v>8.1</v>
      </c>
      <c r="H98" s="23">
        <f t="shared" si="23"/>
        <v>0</v>
      </c>
      <c r="I98" s="23">
        <f t="shared" si="23"/>
        <v>95.7</v>
      </c>
      <c r="J98" s="23">
        <f t="shared" si="23"/>
        <v>105.3</v>
      </c>
      <c r="K98" s="23">
        <f t="shared" si="23"/>
        <v>0</v>
      </c>
      <c r="L98" s="23">
        <f t="shared" si="23"/>
        <v>23.7</v>
      </c>
      <c r="M98" s="23">
        <f t="shared" si="23"/>
        <v>0</v>
      </c>
      <c r="N98" s="23">
        <f t="shared" si="23"/>
        <v>0</v>
      </c>
      <c r="O98" s="23">
        <f t="shared" si="23"/>
        <v>100.8</v>
      </c>
      <c r="P98" s="23">
        <f t="shared" si="23"/>
        <v>1.7</v>
      </c>
      <c r="Q98" s="23">
        <f t="shared" si="23"/>
        <v>215.8</v>
      </c>
      <c r="R98" s="23">
        <f t="shared" si="23"/>
        <v>155.10000000000002</v>
      </c>
      <c r="S98" s="23">
        <f t="shared" si="23"/>
        <v>10</v>
      </c>
      <c r="T98" s="23">
        <f t="shared" si="23"/>
        <v>30.4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750.4</v>
      </c>
      <c r="AE98" s="28">
        <f>B98+C98-AD98</f>
        <v>2793.1000000000004</v>
      </c>
    </row>
    <row r="99" spans="1:31" ht="12.75">
      <c r="A99" s="1" t="s">
        <v>47</v>
      </c>
      <c r="B99" s="2">
        <f aca="true" t="shared" si="24" ref="B99:AB99">B93-B94-B95-B96-B97-B98</f>
        <v>16222.900000000023</v>
      </c>
      <c r="C99" s="2">
        <f t="shared" si="24"/>
        <v>7965.800000000002</v>
      </c>
      <c r="D99" s="2">
        <f t="shared" si="24"/>
        <v>2733.2</v>
      </c>
      <c r="E99" s="2">
        <f t="shared" si="24"/>
        <v>761.0000000000001</v>
      </c>
      <c r="F99" s="2">
        <f t="shared" si="24"/>
        <v>548.4999999999984</v>
      </c>
      <c r="G99" s="2">
        <f t="shared" si="24"/>
        <v>749.1</v>
      </c>
      <c r="H99" s="2">
        <f t="shared" si="24"/>
        <v>2186</v>
      </c>
      <c r="I99" s="2">
        <f t="shared" si="24"/>
        <v>266.7999999999993</v>
      </c>
      <c r="J99" s="2">
        <f t="shared" si="24"/>
        <v>219.4999999999967</v>
      </c>
      <c r="K99" s="2">
        <f t="shared" si="24"/>
        <v>233.79999999999998</v>
      </c>
      <c r="L99" s="2">
        <f t="shared" si="24"/>
        <v>151.40000000000023</v>
      </c>
      <c r="M99" s="2">
        <f t="shared" si="24"/>
        <v>132.7</v>
      </c>
      <c r="N99" s="2">
        <f t="shared" si="24"/>
        <v>628.3000000000001</v>
      </c>
      <c r="O99" s="2">
        <f t="shared" si="24"/>
        <v>135.90000000000003</v>
      </c>
      <c r="P99" s="2">
        <f t="shared" si="24"/>
        <v>719.2</v>
      </c>
      <c r="Q99" s="2">
        <f t="shared" si="24"/>
        <v>218.60000000000036</v>
      </c>
      <c r="R99" s="2">
        <f t="shared" si="24"/>
        <v>824.3999999999975</v>
      </c>
      <c r="S99" s="2">
        <f t="shared" si="24"/>
        <v>93.30000000000041</v>
      </c>
      <c r="T99" s="2">
        <f t="shared" si="24"/>
        <v>40.40000000000003</v>
      </c>
      <c r="U99" s="2">
        <f t="shared" si="24"/>
        <v>682.0000000000009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11324.099999999991</v>
      </c>
      <c r="AE99" s="2">
        <f>AE93-AE94-AE95-AE96-AE97-AE98</f>
        <v>12864.600000000011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S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49" sqref="C49:C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66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8</v>
      </c>
      <c r="I4" s="8">
        <v>9</v>
      </c>
      <c r="J4" s="19">
        <v>10</v>
      </c>
      <c r="K4" s="8">
        <v>11</v>
      </c>
      <c r="L4" s="8">
        <v>12</v>
      </c>
      <c r="M4" s="8">
        <v>15</v>
      </c>
      <c r="N4" s="8">
        <v>16</v>
      </c>
      <c r="O4" s="8">
        <v>17</v>
      </c>
      <c r="P4" s="8">
        <v>18</v>
      </c>
      <c r="Q4" s="8">
        <v>19</v>
      </c>
      <c r="R4" s="8">
        <v>22</v>
      </c>
      <c r="S4" s="19">
        <v>23</v>
      </c>
      <c r="T4" s="19">
        <v>24</v>
      </c>
      <c r="U4" s="8">
        <v>25</v>
      </c>
      <c r="V4" s="19">
        <v>26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43157</v>
      </c>
      <c r="C7" s="73">
        <v>2079.9</v>
      </c>
      <c r="D7" s="46"/>
      <c r="E7" s="47">
        <v>21578.5</v>
      </c>
      <c r="F7" s="47"/>
      <c r="G7" s="47"/>
      <c r="H7" s="75"/>
      <c r="I7" s="47"/>
      <c r="J7" s="48"/>
      <c r="K7" s="47">
        <v>21578.5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115.2</v>
      </c>
      <c r="AD7" s="49"/>
      <c r="AE7" s="49"/>
    </row>
    <row r="8" spans="1:53" ht="18" customHeight="1">
      <c r="A8" s="61" t="s">
        <v>37</v>
      </c>
      <c r="B8" s="41">
        <f>SUM(D8:Z8)</f>
        <v>55717.100000000006</v>
      </c>
      <c r="C8" s="41">
        <v>51495.4</v>
      </c>
      <c r="D8" s="44">
        <v>6609.6</v>
      </c>
      <c r="E8" s="56">
        <v>680.3</v>
      </c>
      <c r="F8" s="56">
        <v>1984.5</v>
      </c>
      <c r="G8" s="56">
        <v>2682.3</v>
      </c>
      <c r="H8" s="56">
        <v>5406.7</v>
      </c>
      <c r="I8" s="56">
        <v>2110.9</v>
      </c>
      <c r="J8" s="57">
        <v>1767.7</v>
      </c>
      <c r="K8" s="56">
        <v>1008.9</v>
      </c>
      <c r="L8" s="56">
        <v>939</v>
      </c>
      <c r="M8" s="56">
        <v>2297.6</v>
      </c>
      <c r="N8" s="56">
        <v>3510.5</v>
      </c>
      <c r="O8" s="56">
        <v>1383.3</v>
      </c>
      <c r="P8" s="56">
        <v>1235.2</v>
      </c>
      <c r="Q8" s="56">
        <v>1624.1</v>
      </c>
      <c r="R8" s="56">
        <v>3028.3</v>
      </c>
      <c r="S8" s="58">
        <v>3665.2</v>
      </c>
      <c r="T8" s="58">
        <v>1732.5</v>
      </c>
      <c r="U8" s="56">
        <v>1181.5</v>
      </c>
      <c r="V8" s="57">
        <v>4146.6</v>
      </c>
      <c r="W8" s="57">
        <v>8722.4</v>
      </c>
      <c r="X8" s="57"/>
      <c r="Y8" s="57"/>
      <c r="Z8" s="56"/>
      <c r="AA8" s="24"/>
      <c r="AB8" s="24"/>
      <c r="AC8" s="62">
        <v>60146.2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87815.90000000001</v>
      </c>
      <c r="C9" s="25">
        <f t="shared" si="0"/>
        <v>24012.8</v>
      </c>
      <c r="D9" s="25">
        <f t="shared" si="0"/>
        <v>5454.1</v>
      </c>
      <c r="E9" s="25">
        <f t="shared" si="0"/>
        <v>7005.2</v>
      </c>
      <c r="F9" s="25">
        <f t="shared" si="0"/>
        <v>797.6</v>
      </c>
      <c r="G9" s="25">
        <f t="shared" si="0"/>
        <v>9284.4</v>
      </c>
      <c r="H9" s="25">
        <f t="shared" si="0"/>
        <v>639.5999999999999</v>
      </c>
      <c r="I9" s="25">
        <f t="shared" si="0"/>
        <v>914.2</v>
      </c>
      <c r="J9" s="25">
        <f t="shared" si="0"/>
        <v>6291.8</v>
      </c>
      <c r="K9" s="25">
        <f t="shared" si="0"/>
        <v>22919.599999999995</v>
      </c>
      <c r="L9" s="25">
        <f t="shared" si="0"/>
        <v>749.7</v>
      </c>
      <c r="M9" s="25">
        <f t="shared" si="0"/>
        <v>1269.4</v>
      </c>
      <c r="N9" s="25">
        <f t="shared" si="0"/>
        <v>489.2</v>
      </c>
      <c r="O9" s="25">
        <f t="shared" si="0"/>
        <v>2503.6000000000004</v>
      </c>
      <c r="P9" s="25">
        <f t="shared" si="0"/>
        <v>235.79999999999998</v>
      </c>
      <c r="Q9" s="25">
        <f t="shared" si="0"/>
        <v>619.5</v>
      </c>
      <c r="R9" s="25">
        <f t="shared" si="0"/>
        <v>634.5</v>
      </c>
      <c r="S9" s="25">
        <f t="shared" si="0"/>
        <v>613.6999999999999</v>
      </c>
      <c r="T9" s="25">
        <f t="shared" si="0"/>
        <v>7864.2</v>
      </c>
      <c r="U9" s="25">
        <f t="shared" si="0"/>
        <v>19583.300000000003</v>
      </c>
      <c r="V9" s="25">
        <f t="shared" si="0"/>
        <v>2397.6</v>
      </c>
      <c r="W9" s="25">
        <f t="shared" si="0"/>
        <v>1921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92188</v>
      </c>
      <c r="AE9" s="51">
        <f>AE10+AE15+AE24+AE33+AE47+AE52+AE54+AE61+AE62+AE71+AE72+AE75+AE87+AE80+AE82+AE81+AE69+AE88+AE90+AE89+AE70+AE40+AE91</f>
        <v>19640.7</v>
      </c>
      <c r="AF9" s="50"/>
      <c r="AG9" s="50"/>
    </row>
    <row r="10" spans="1:31" ht="15.75">
      <c r="A10" s="4" t="s">
        <v>4</v>
      </c>
      <c r="B10" s="23">
        <f>3943.7+28.8</f>
        <v>3972.5</v>
      </c>
      <c r="C10" s="23">
        <v>2163.6</v>
      </c>
      <c r="D10" s="23">
        <v>74.3</v>
      </c>
      <c r="E10" s="23">
        <v>27.7</v>
      </c>
      <c r="F10" s="23">
        <v>86</v>
      </c>
      <c r="G10" s="23">
        <v>28.9</v>
      </c>
      <c r="H10" s="23">
        <v>58.7</v>
      </c>
      <c r="I10" s="23">
        <v>133.8</v>
      </c>
      <c r="J10" s="26">
        <v>815</v>
      </c>
      <c r="K10" s="23">
        <v>170.1</v>
      </c>
      <c r="L10" s="23">
        <v>337.9</v>
      </c>
      <c r="M10" s="23">
        <v>7</v>
      </c>
      <c r="N10" s="23">
        <v>277</v>
      </c>
      <c r="O10" s="28">
        <v>5.2</v>
      </c>
      <c r="P10" s="23">
        <v>80.3</v>
      </c>
      <c r="Q10" s="23">
        <v>19.2</v>
      </c>
      <c r="R10" s="23">
        <v>7.4</v>
      </c>
      <c r="S10" s="27">
        <f>16.9+0.9</f>
        <v>17.799999999999997</v>
      </c>
      <c r="T10" s="27">
        <v>357.9</v>
      </c>
      <c r="U10" s="27">
        <v>1273.6</v>
      </c>
      <c r="V10" s="23">
        <v>494.4</v>
      </c>
      <c r="W10" s="28">
        <v>32.3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4304.5</v>
      </c>
      <c r="AE10" s="28">
        <f>B10+C10-AD10</f>
        <v>1831.6000000000004</v>
      </c>
    </row>
    <row r="11" spans="1:31" ht="15.75">
      <c r="A11" s="3" t="s">
        <v>5</v>
      </c>
      <c r="B11" s="23">
        <f>3372.9+13+28.5</f>
        <v>3414.4</v>
      </c>
      <c r="C11" s="23">
        <v>465.4</v>
      </c>
      <c r="D11" s="23">
        <v>74.3</v>
      </c>
      <c r="E11" s="23">
        <v>0.2</v>
      </c>
      <c r="F11" s="23">
        <v>12.7</v>
      </c>
      <c r="G11" s="23">
        <v>11.6</v>
      </c>
      <c r="H11" s="23">
        <v>58.4</v>
      </c>
      <c r="I11" s="23">
        <v>89.3</v>
      </c>
      <c r="J11" s="27">
        <v>743.1</v>
      </c>
      <c r="K11" s="23">
        <v>91.1</v>
      </c>
      <c r="L11" s="23">
        <v>294.4</v>
      </c>
      <c r="M11" s="23"/>
      <c r="N11" s="23"/>
      <c r="O11" s="28"/>
      <c r="P11" s="23">
        <v>70.5</v>
      </c>
      <c r="Q11" s="23">
        <v>19.1</v>
      </c>
      <c r="R11" s="23"/>
      <c r="S11" s="27"/>
      <c r="T11" s="27">
        <v>279.2</v>
      </c>
      <c r="U11" s="27">
        <v>1235.5</v>
      </c>
      <c r="V11" s="23">
        <v>481.1</v>
      </c>
      <c r="W11" s="27"/>
      <c r="X11" s="27"/>
      <c r="Y11" s="27"/>
      <c r="Z11" s="23"/>
      <c r="AA11" s="23"/>
      <c r="AB11" s="23"/>
      <c r="AC11" s="23"/>
      <c r="AD11" s="23">
        <f t="shared" si="1"/>
        <v>3460.4999999999995</v>
      </c>
      <c r="AE11" s="28">
        <f>B11+C11-AD11</f>
        <v>419.30000000000064</v>
      </c>
    </row>
    <row r="12" spans="1:31" ht="15.75">
      <c r="A12" s="3" t="s">
        <v>2</v>
      </c>
      <c r="B12" s="37">
        <f>63.8-4</f>
        <v>59.8</v>
      </c>
      <c r="C12" s="23">
        <v>622.4</v>
      </c>
      <c r="D12" s="23"/>
      <c r="E12" s="23"/>
      <c r="F12" s="23">
        <v>9.5</v>
      </c>
      <c r="G12" s="23">
        <v>0.7</v>
      </c>
      <c r="H12" s="23"/>
      <c r="I12" s="23"/>
      <c r="J12" s="27">
        <v>0.1</v>
      </c>
      <c r="K12" s="23">
        <v>0.5</v>
      </c>
      <c r="L12" s="23">
        <v>30</v>
      </c>
      <c r="M12" s="23"/>
      <c r="N12" s="23">
        <v>263.7</v>
      </c>
      <c r="O12" s="28"/>
      <c r="P12" s="23"/>
      <c r="Q12" s="23"/>
      <c r="R12" s="23"/>
      <c r="S12" s="27">
        <v>3</v>
      </c>
      <c r="T12" s="27">
        <v>9.9</v>
      </c>
      <c r="U12" s="27">
        <v>2.9</v>
      </c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320.29999999999995</v>
      </c>
      <c r="AE12" s="28">
        <f>B12+C12-AD12</f>
        <v>361.9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498.2999999999999</v>
      </c>
      <c r="C14" s="23">
        <f t="shared" si="2"/>
        <v>1075.7999999999997</v>
      </c>
      <c r="D14" s="23">
        <f t="shared" si="2"/>
        <v>0</v>
      </c>
      <c r="E14" s="23">
        <f t="shared" si="2"/>
        <v>27.5</v>
      </c>
      <c r="F14" s="23">
        <f t="shared" si="2"/>
        <v>63.8</v>
      </c>
      <c r="G14" s="23">
        <f t="shared" si="2"/>
        <v>16.599999999999998</v>
      </c>
      <c r="H14" s="23">
        <f t="shared" si="2"/>
        <v>0.30000000000000426</v>
      </c>
      <c r="I14" s="23">
        <f t="shared" si="2"/>
        <v>44.500000000000014</v>
      </c>
      <c r="J14" s="23">
        <f t="shared" si="2"/>
        <v>71.79999999999998</v>
      </c>
      <c r="K14" s="23">
        <f t="shared" si="2"/>
        <v>78.5</v>
      </c>
      <c r="L14" s="23">
        <f t="shared" si="2"/>
        <v>13.5</v>
      </c>
      <c r="M14" s="23">
        <f t="shared" si="2"/>
        <v>7</v>
      </c>
      <c r="N14" s="23">
        <f t="shared" si="2"/>
        <v>13.300000000000011</v>
      </c>
      <c r="O14" s="23">
        <f t="shared" si="2"/>
        <v>5.2</v>
      </c>
      <c r="P14" s="23">
        <f t="shared" si="2"/>
        <v>9.799999999999997</v>
      </c>
      <c r="Q14" s="23">
        <f t="shared" si="2"/>
        <v>0.09999999999999787</v>
      </c>
      <c r="R14" s="23">
        <f t="shared" si="2"/>
        <v>7.4</v>
      </c>
      <c r="S14" s="23">
        <f t="shared" si="2"/>
        <v>14.799999999999997</v>
      </c>
      <c r="T14" s="23">
        <f t="shared" si="2"/>
        <v>68.79999999999998</v>
      </c>
      <c r="U14" s="23">
        <f t="shared" si="2"/>
        <v>35.19999999999991</v>
      </c>
      <c r="V14" s="23">
        <f t="shared" si="2"/>
        <v>13.299999999999955</v>
      </c>
      <c r="W14" s="23">
        <f t="shared" si="2"/>
        <v>32.3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523.6999999999998</v>
      </c>
      <c r="AE14" s="28">
        <f>AE10-AE11-AE12-AE13</f>
        <v>1050.3999999999996</v>
      </c>
    </row>
    <row r="15" spans="1:31" ht="15" customHeight="1">
      <c r="A15" s="4" t="s">
        <v>6</v>
      </c>
      <c r="B15" s="23">
        <f>39514.1+2076.1-0.2</f>
        <v>41590</v>
      </c>
      <c r="C15" s="23">
        <v>5661.8</v>
      </c>
      <c r="D15" s="45">
        <v>579.2</v>
      </c>
      <c r="E15" s="45"/>
      <c r="F15" s="23">
        <v>518.5</v>
      </c>
      <c r="G15" s="23">
        <f>6936.6+2313.1</f>
        <v>9249.7</v>
      </c>
      <c r="H15" s="23"/>
      <c r="I15" s="23">
        <v>47.3</v>
      </c>
      <c r="J15" s="27">
        <v>341.4</v>
      </c>
      <c r="K15" s="23">
        <f>2.2+16104.8</f>
        <v>16107</v>
      </c>
      <c r="L15" s="23">
        <v>119.7</v>
      </c>
      <c r="M15" s="23">
        <v>426.9</v>
      </c>
      <c r="N15" s="23">
        <v>66</v>
      </c>
      <c r="O15" s="28">
        <v>1232.3</v>
      </c>
      <c r="P15" s="23">
        <v>8.9</v>
      </c>
      <c r="Q15" s="28">
        <v>383.3</v>
      </c>
      <c r="R15" s="23">
        <v>2.7</v>
      </c>
      <c r="S15" s="27">
        <v>383.3</v>
      </c>
      <c r="T15" s="27">
        <v>4785.6</v>
      </c>
      <c r="U15" s="27">
        <v>9304.6</v>
      </c>
      <c r="V15" s="23">
        <v>67.1</v>
      </c>
      <c r="W15" s="27"/>
      <c r="X15" s="27"/>
      <c r="Y15" s="27"/>
      <c r="Z15" s="23"/>
      <c r="AA15" s="23"/>
      <c r="AB15" s="23"/>
      <c r="AC15" s="23"/>
      <c r="AD15" s="28">
        <f t="shared" si="1"/>
        <v>43623.5</v>
      </c>
      <c r="AE15" s="28">
        <f aca="true" t="shared" si="3" ref="AE15:AE31">B15+C15-AD15</f>
        <v>3628.300000000003</v>
      </c>
    </row>
    <row r="16" spans="1:31" s="71" customFormat="1" ht="15" customHeight="1">
      <c r="A16" s="66" t="s">
        <v>55</v>
      </c>
      <c r="B16" s="67">
        <v>24991.5</v>
      </c>
      <c r="C16" s="67">
        <v>1188.1</v>
      </c>
      <c r="D16" s="68">
        <v>579.2</v>
      </c>
      <c r="E16" s="68"/>
      <c r="F16" s="67">
        <v>45.1</v>
      </c>
      <c r="G16" s="67">
        <f>6936.6+2100.5</f>
        <v>9037.1</v>
      </c>
      <c r="H16" s="67"/>
      <c r="I16" s="67"/>
      <c r="J16" s="69"/>
      <c r="K16" s="67">
        <v>10567.7</v>
      </c>
      <c r="L16" s="67">
        <v>116.2</v>
      </c>
      <c r="M16" s="67"/>
      <c r="N16" s="67"/>
      <c r="O16" s="70">
        <v>1162.3</v>
      </c>
      <c r="P16" s="67">
        <v>1.2</v>
      </c>
      <c r="Q16" s="70">
        <v>1.3</v>
      </c>
      <c r="R16" s="67"/>
      <c r="S16" s="69"/>
      <c r="T16" s="69">
        <v>4453.4</v>
      </c>
      <c r="U16" s="69">
        <v>100.1</v>
      </c>
      <c r="V16" s="67">
        <v>9.8</v>
      </c>
      <c r="W16" s="69"/>
      <c r="X16" s="69"/>
      <c r="Y16" s="69"/>
      <c r="Z16" s="67"/>
      <c r="AA16" s="67"/>
      <c r="AB16" s="67"/>
      <c r="AC16" s="67"/>
      <c r="AD16" s="72">
        <f t="shared" si="1"/>
        <v>26073.399999999998</v>
      </c>
      <c r="AE16" s="72">
        <f t="shared" si="3"/>
        <v>106.20000000000073</v>
      </c>
    </row>
    <row r="17" spans="1:32" ht="15.75">
      <c r="A17" s="3" t="s">
        <v>5</v>
      </c>
      <c r="B17" s="23">
        <v>37136.8</v>
      </c>
      <c r="C17" s="23">
        <v>821</v>
      </c>
      <c r="D17" s="23">
        <v>579.2</v>
      </c>
      <c r="E17" s="23"/>
      <c r="F17" s="23"/>
      <c r="G17" s="23">
        <v>6936.6</v>
      </c>
      <c r="H17" s="23"/>
      <c r="I17" s="23"/>
      <c r="J17" s="27"/>
      <c r="K17" s="23">
        <v>16104.8</v>
      </c>
      <c r="L17" s="23"/>
      <c r="M17" s="23"/>
      <c r="N17" s="23">
        <v>66</v>
      </c>
      <c r="O17" s="28"/>
      <c r="P17" s="23"/>
      <c r="Q17" s="28"/>
      <c r="R17" s="23"/>
      <c r="S17" s="27">
        <v>373.9</v>
      </c>
      <c r="T17" s="27">
        <v>4553.9</v>
      </c>
      <c r="U17" s="27">
        <v>9196.1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37810.5</v>
      </c>
      <c r="AE17" s="28">
        <f t="shared" si="3"/>
        <v>147.3000000000029</v>
      </c>
      <c r="AF17" s="6"/>
    </row>
    <row r="18" spans="1:31" ht="15.75">
      <c r="A18" s="3" t="s">
        <v>3</v>
      </c>
      <c r="B18" s="23">
        <v>0</v>
      </c>
      <c r="C18" s="23">
        <v>7.2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2</v>
      </c>
      <c r="P18" s="23"/>
      <c r="Q18" s="28"/>
      <c r="R18" s="23"/>
      <c r="S18" s="27"/>
      <c r="T18" s="27"/>
      <c r="U18" s="27"/>
      <c r="V18" s="23">
        <v>0.3</v>
      </c>
      <c r="W18" s="27"/>
      <c r="X18" s="27"/>
      <c r="Y18" s="27"/>
      <c r="Z18" s="23"/>
      <c r="AA18" s="23"/>
      <c r="AB18" s="23"/>
      <c r="AC18" s="23"/>
      <c r="AD18" s="28">
        <f t="shared" si="1"/>
        <v>2.3</v>
      </c>
      <c r="AE18" s="28">
        <f t="shared" si="3"/>
        <v>4.9</v>
      </c>
    </row>
    <row r="19" spans="1:31" ht="15.75">
      <c r="A19" s="3" t="s">
        <v>1</v>
      </c>
      <c r="B19" s="23">
        <f>943.2-684.6-0.1</f>
        <v>258.5</v>
      </c>
      <c r="C19" s="23">
        <v>1584.8</v>
      </c>
      <c r="D19" s="23"/>
      <c r="E19" s="23"/>
      <c r="F19" s="23">
        <v>282</v>
      </c>
      <c r="G19" s="23">
        <v>126.7</v>
      </c>
      <c r="H19" s="23"/>
      <c r="I19" s="23">
        <v>29.4</v>
      </c>
      <c r="J19" s="27">
        <v>276.4</v>
      </c>
      <c r="K19" s="23"/>
      <c r="L19" s="23">
        <v>116.2</v>
      </c>
      <c r="M19" s="23">
        <v>159.5</v>
      </c>
      <c r="N19" s="23"/>
      <c r="O19" s="28">
        <v>227.6</v>
      </c>
      <c r="P19" s="23"/>
      <c r="Q19" s="28">
        <v>20.7</v>
      </c>
      <c r="R19" s="23"/>
      <c r="S19" s="27"/>
      <c r="T19" s="27">
        <v>33.6</v>
      </c>
      <c r="U19" s="27">
        <v>3.8</v>
      </c>
      <c r="V19" s="23">
        <v>33</v>
      </c>
      <c r="W19" s="27"/>
      <c r="X19" s="27"/>
      <c r="Y19" s="27"/>
      <c r="Z19" s="23"/>
      <c r="AA19" s="23"/>
      <c r="AB19" s="23"/>
      <c r="AC19" s="23"/>
      <c r="AD19" s="28">
        <f t="shared" si="1"/>
        <v>1308.8999999999999</v>
      </c>
      <c r="AE19" s="28">
        <f t="shared" si="3"/>
        <v>534.4000000000001</v>
      </c>
    </row>
    <row r="20" spans="1:31" ht="15.75">
      <c r="A20" s="3" t="s">
        <v>2</v>
      </c>
      <c r="B20" s="23">
        <f>1045.5+2943.9-0.1</f>
        <v>3989.3</v>
      </c>
      <c r="C20" s="23">
        <v>2558.9</v>
      </c>
      <c r="D20" s="23"/>
      <c r="E20" s="23"/>
      <c r="F20" s="23">
        <v>212.2</v>
      </c>
      <c r="G20" s="23">
        <v>2141.9</v>
      </c>
      <c r="H20" s="23"/>
      <c r="I20" s="23"/>
      <c r="J20" s="27">
        <v>39.3</v>
      </c>
      <c r="K20" s="23">
        <v>0.3</v>
      </c>
      <c r="L20" s="23"/>
      <c r="M20" s="23">
        <v>253.5</v>
      </c>
      <c r="N20" s="23"/>
      <c r="O20" s="28">
        <v>970.4</v>
      </c>
      <c r="P20" s="23"/>
      <c r="Q20" s="28">
        <v>308.9</v>
      </c>
      <c r="R20" s="23"/>
      <c r="S20" s="27"/>
      <c r="T20" s="27">
        <v>159</v>
      </c>
      <c r="U20" s="27">
        <v>64</v>
      </c>
      <c r="V20" s="23">
        <v>10.3</v>
      </c>
      <c r="W20" s="27"/>
      <c r="X20" s="27"/>
      <c r="Y20" s="27"/>
      <c r="Z20" s="23"/>
      <c r="AA20" s="23"/>
      <c r="AB20" s="23"/>
      <c r="AC20" s="23"/>
      <c r="AD20" s="28">
        <f t="shared" si="1"/>
        <v>4159.8</v>
      </c>
      <c r="AE20" s="28">
        <f t="shared" si="3"/>
        <v>2388.4000000000005</v>
      </c>
    </row>
    <row r="21" spans="1:31" ht="15.75">
      <c r="A21" s="3" t="s">
        <v>17</v>
      </c>
      <c r="B21" s="23">
        <f>5.2+9.9</f>
        <v>15.100000000000001</v>
      </c>
      <c r="C21" s="23">
        <v>33.9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>
        <v>1.2</v>
      </c>
      <c r="Q21" s="28">
        <v>5.4</v>
      </c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10.4</v>
      </c>
      <c r="AE21" s="28">
        <f t="shared" si="3"/>
        <v>38.6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190.2999999999969</v>
      </c>
      <c r="C23" s="23">
        <f t="shared" si="4"/>
        <v>656.0000000000001</v>
      </c>
      <c r="D23" s="23">
        <f t="shared" si="4"/>
        <v>0</v>
      </c>
      <c r="E23" s="23">
        <f t="shared" si="4"/>
        <v>0</v>
      </c>
      <c r="F23" s="23">
        <f t="shared" si="4"/>
        <v>20.50000000000001</v>
      </c>
      <c r="G23" s="23">
        <f t="shared" si="4"/>
        <v>44.500000000000455</v>
      </c>
      <c r="H23" s="23">
        <f t="shared" si="4"/>
        <v>0</v>
      </c>
      <c r="I23" s="23">
        <f t="shared" si="4"/>
        <v>17.9</v>
      </c>
      <c r="J23" s="23">
        <f t="shared" si="4"/>
        <v>25.700000000000003</v>
      </c>
      <c r="K23" s="23">
        <f t="shared" si="4"/>
        <v>1.9000000000007276</v>
      </c>
      <c r="L23" s="23">
        <f t="shared" si="4"/>
        <v>3.5</v>
      </c>
      <c r="M23" s="23">
        <f t="shared" si="4"/>
        <v>13.899999999999977</v>
      </c>
      <c r="N23" s="23">
        <f t="shared" si="4"/>
        <v>0</v>
      </c>
      <c r="O23" s="23">
        <f t="shared" si="4"/>
        <v>32.299999999999955</v>
      </c>
      <c r="P23" s="23">
        <f t="shared" si="4"/>
        <v>7.7</v>
      </c>
      <c r="Q23" s="23">
        <f t="shared" si="4"/>
        <v>48.30000000000005</v>
      </c>
      <c r="R23" s="23">
        <f t="shared" si="4"/>
        <v>2.7</v>
      </c>
      <c r="S23" s="23">
        <f t="shared" si="4"/>
        <v>9.400000000000034</v>
      </c>
      <c r="T23" s="23">
        <f t="shared" si="4"/>
        <v>39.10000000000073</v>
      </c>
      <c r="U23" s="23">
        <f t="shared" si="4"/>
        <v>40.7</v>
      </c>
      <c r="V23" s="23">
        <f t="shared" si="4"/>
        <v>23.499999999999996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331.6000000000019</v>
      </c>
      <c r="AE23" s="28">
        <f t="shared" si="3"/>
        <v>514.699999999995</v>
      </c>
    </row>
    <row r="24" spans="1:31" ht="15" customHeight="1">
      <c r="A24" s="4" t="s">
        <v>7</v>
      </c>
      <c r="B24" s="23">
        <f>18897.6+3720.6+562.3</f>
        <v>23180.499999999996</v>
      </c>
      <c r="C24" s="23">
        <v>1758.2</v>
      </c>
      <c r="D24" s="23"/>
      <c r="E24" s="23">
        <v>6271</v>
      </c>
      <c r="F24" s="23"/>
      <c r="G24" s="23">
        <v>1.3</v>
      </c>
      <c r="H24" s="23"/>
      <c r="I24" s="23">
        <v>492.7</v>
      </c>
      <c r="J24" s="27">
        <v>1.2</v>
      </c>
      <c r="K24" s="23">
        <v>5795.8</v>
      </c>
      <c r="L24" s="23"/>
      <c r="M24" s="23"/>
      <c r="N24" s="23"/>
      <c r="O24" s="28">
        <v>1113.4</v>
      </c>
      <c r="P24" s="23">
        <v>135</v>
      </c>
      <c r="Q24" s="28"/>
      <c r="R24" s="28">
        <v>3.9</v>
      </c>
      <c r="S24" s="27"/>
      <c r="T24" s="27">
        <v>372.9</v>
      </c>
      <c r="U24" s="27">
        <v>7829.2</v>
      </c>
      <c r="V24" s="23">
        <v>859.7</v>
      </c>
      <c r="W24" s="27">
        <v>16.3</v>
      </c>
      <c r="X24" s="27"/>
      <c r="Y24" s="27"/>
      <c r="Z24" s="23"/>
      <c r="AA24" s="23"/>
      <c r="AB24" s="23"/>
      <c r="AC24" s="23"/>
      <c r="AD24" s="28">
        <f t="shared" si="1"/>
        <v>22892.399999999998</v>
      </c>
      <c r="AE24" s="28">
        <f t="shared" si="3"/>
        <v>2046.2999999999993</v>
      </c>
    </row>
    <row r="25" spans="1:31" s="71" customFormat="1" ht="15" customHeight="1">
      <c r="A25" s="66" t="s">
        <v>56</v>
      </c>
      <c r="B25" s="67">
        <v>18165.5</v>
      </c>
      <c r="C25" s="67">
        <v>891.8</v>
      </c>
      <c r="D25" s="67"/>
      <c r="E25" s="67">
        <v>2551.6</v>
      </c>
      <c r="F25" s="67"/>
      <c r="G25" s="67">
        <v>0.1</v>
      </c>
      <c r="H25" s="67"/>
      <c r="I25" s="67">
        <v>462.5</v>
      </c>
      <c r="J25" s="69">
        <v>1.2</v>
      </c>
      <c r="K25" s="67">
        <v>5789.6</v>
      </c>
      <c r="L25" s="67"/>
      <c r="M25" s="67"/>
      <c r="N25" s="67"/>
      <c r="O25" s="70">
        <v>1050.1</v>
      </c>
      <c r="P25" s="67">
        <v>122.6</v>
      </c>
      <c r="Q25" s="70"/>
      <c r="R25" s="70">
        <v>3.9</v>
      </c>
      <c r="S25" s="69"/>
      <c r="T25" s="69">
        <v>372.9</v>
      </c>
      <c r="U25" s="69">
        <v>7820.2</v>
      </c>
      <c r="V25" s="67">
        <v>857.3</v>
      </c>
      <c r="W25" s="69">
        <v>16.3</v>
      </c>
      <c r="X25" s="69"/>
      <c r="Y25" s="69"/>
      <c r="Z25" s="67"/>
      <c r="AA25" s="67"/>
      <c r="AB25" s="67"/>
      <c r="AC25" s="67"/>
      <c r="AD25" s="72">
        <f t="shared" si="1"/>
        <v>19048.3</v>
      </c>
      <c r="AE25" s="72">
        <f t="shared" si="3"/>
        <v>9</v>
      </c>
    </row>
    <row r="26" spans="1:32" ht="15.75">
      <c r="A26" s="3" t="s">
        <v>5</v>
      </c>
      <c r="B26" s="23">
        <f>15444.9+2566.8+36.1</f>
        <v>18047.8</v>
      </c>
      <c r="C26" s="23">
        <v>8.3</v>
      </c>
      <c r="D26" s="23"/>
      <c r="E26" s="23">
        <v>4672.2</v>
      </c>
      <c r="F26" s="23"/>
      <c r="G26" s="23"/>
      <c r="H26" s="23"/>
      <c r="I26" s="23">
        <v>35.4</v>
      </c>
      <c r="J26" s="27"/>
      <c r="K26" s="23">
        <v>5475.1</v>
      </c>
      <c r="L26" s="23"/>
      <c r="M26" s="23"/>
      <c r="N26" s="23"/>
      <c r="O26" s="28"/>
      <c r="P26" s="23"/>
      <c r="Q26" s="28"/>
      <c r="R26" s="23"/>
      <c r="S26" s="27"/>
      <c r="T26" s="27"/>
      <c r="U26" s="27">
        <v>7818.4</v>
      </c>
      <c r="V26" s="23">
        <v>36.9</v>
      </c>
      <c r="W26" s="27"/>
      <c r="X26" s="27"/>
      <c r="Y26" s="27"/>
      <c r="Z26" s="23"/>
      <c r="AA26" s="23"/>
      <c r="AB26" s="23"/>
      <c r="AC26" s="23"/>
      <c r="AD26" s="28">
        <f t="shared" si="1"/>
        <v>18038</v>
      </c>
      <c r="AE26" s="28">
        <f t="shared" si="3"/>
        <v>18.099999999998545</v>
      </c>
      <c r="AF26" s="6"/>
    </row>
    <row r="27" spans="1:31" ht="15.75">
      <c r="A27" s="3" t="s">
        <v>3</v>
      </c>
      <c r="B27" s="23">
        <f>1261.4-12+562.3+57.8-17.1</f>
        <v>1852.4</v>
      </c>
      <c r="C27" s="23">
        <v>999.5</v>
      </c>
      <c r="D27" s="23"/>
      <c r="E27" s="23">
        <v>224.3</v>
      </c>
      <c r="F27" s="23"/>
      <c r="G27" s="23">
        <v>1.2</v>
      </c>
      <c r="H27" s="23"/>
      <c r="I27" s="23">
        <v>312.9</v>
      </c>
      <c r="J27" s="27">
        <v>1.2</v>
      </c>
      <c r="K27" s="23"/>
      <c r="L27" s="23"/>
      <c r="M27" s="23"/>
      <c r="N27" s="23"/>
      <c r="O27" s="28">
        <v>314.9</v>
      </c>
      <c r="P27" s="23">
        <v>3.5</v>
      </c>
      <c r="Q27" s="28"/>
      <c r="R27" s="23">
        <v>3.6</v>
      </c>
      <c r="S27" s="27"/>
      <c r="T27" s="27">
        <v>128.9</v>
      </c>
      <c r="U27" s="27"/>
      <c r="V27" s="23">
        <v>182.5</v>
      </c>
      <c r="W27" s="27"/>
      <c r="X27" s="27"/>
      <c r="Y27" s="27"/>
      <c r="Z27" s="23"/>
      <c r="AA27" s="23"/>
      <c r="AB27" s="23"/>
      <c r="AC27" s="23"/>
      <c r="AD27" s="28">
        <f t="shared" si="1"/>
        <v>1173</v>
      </c>
      <c r="AE27" s="28">
        <f t="shared" si="3"/>
        <v>1678.9</v>
      </c>
    </row>
    <row r="28" spans="1:31" ht="15.75">
      <c r="A28" s="3" t="s">
        <v>1</v>
      </c>
      <c r="B28" s="23">
        <f>302-36.6</f>
        <v>265.4</v>
      </c>
      <c r="C28" s="23">
        <v>43.6</v>
      </c>
      <c r="D28" s="23"/>
      <c r="E28" s="23">
        <v>22.2</v>
      </c>
      <c r="F28" s="23"/>
      <c r="G28" s="23"/>
      <c r="H28" s="23"/>
      <c r="I28" s="23">
        <v>39</v>
      </c>
      <c r="J28" s="27"/>
      <c r="K28" s="23"/>
      <c r="L28" s="23"/>
      <c r="M28" s="23"/>
      <c r="N28" s="23"/>
      <c r="O28" s="28">
        <v>81.6</v>
      </c>
      <c r="P28" s="23"/>
      <c r="Q28" s="28"/>
      <c r="R28" s="23"/>
      <c r="S28" s="27"/>
      <c r="T28" s="27">
        <v>82</v>
      </c>
      <c r="U28" s="27"/>
      <c r="V28" s="23">
        <v>84.2</v>
      </c>
      <c r="W28" s="27"/>
      <c r="X28" s="27"/>
      <c r="Y28" s="27"/>
      <c r="Z28" s="23"/>
      <c r="AA28" s="23"/>
      <c r="AB28" s="23"/>
      <c r="AC28" s="23"/>
      <c r="AD28" s="28">
        <f t="shared" si="1"/>
        <v>309</v>
      </c>
      <c r="AE28" s="28">
        <f t="shared" si="3"/>
        <v>0</v>
      </c>
    </row>
    <row r="29" spans="1:31" ht="15.75">
      <c r="A29" s="3" t="s">
        <v>2</v>
      </c>
      <c r="B29" s="23">
        <f>655.8+1153.8-247.6</f>
        <v>1562</v>
      </c>
      <c r="C29" s="23">
        <v>386.4</v>
      </c>
      <c r="D29" s="23"/>
      <c r="E29" s="23">
        <v>1154.7</v>
      </c>
      <c r="F29" s="23"/>
      <c r="G29" s="23"/>
      <c r="H29" s="23"/>
      <c r="I29" s="23">
        <v>105.4</v>
      </c>
      <c r="J29" s="27"/>
      <c r="K29" s="23">
        <v>0.9</v>
      </c>
      <c r="L29" s="23"/>
      <c r="M29" s="23"/>
      <c r="N29" s="23"/>
      <c r="O29" s="28">
        <v>293.6</v>
      </c>
      <c r="P29" s="23">
        <v>119</v>
      </c>
      <c r="Q29" s="28"/>
      <c r="R29" s="23"/>
      <c r="S29" s="27"/>
      <c r="T29" s="27">
        <v>115</v>
      </c>
      <c r="U29" s="27">
        <v>9.1</v>
      </c>
      <c r="V29" s="23">
        <v>124.5</v>
      </c>
      <c r="W29" s="27"/>
      <c r="X29" s="27"/>
      <c r="Y29" s="27"/>
      <c r="Z29" s="23"/>
      <c r="AA29" s="23"/>
      <c r="AB29" s="23"/>
      <c r="AC29" s="23"/>
      <c r="AD29" s="28">
        <f t="shared" si="1"/>
        <v>1922.2000000000003</v>
      </c>
      <c r="AE29" s="28">
        <f t="shared" si="3"/>
        <v>26.199999999999818</v>
      </c>
    </row>
    <row r="30" spans="1:31" ht="15.75">
      <c r="A30" s="3" t="s">
        <v>17</v>
      </c>
      <c r="B30" s="23">
        <f>124.3-40.6</f>
        <v>83.69999999999999</v>
      </c>
      <c r="C30" s="23">
        <v>23.2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>
        <v>106.9</v>
      </c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106.9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1369.1999999999969</v>
      </c>
      <c r="C32" s="23">
        <f t="shared" si="5"/>
        <v>297.2000000000001</v>
      </c>
      <c r="D32" s="23">
        <f t="shared" si="5"/>
        <v>0</v>
      </c>
      <c r="E32" s="23">
        <f t="shared" si="5"/>
        <v>197.60000000000014</v>
      </c>
      <c r="F32" s="23">
        <f t="shared" si="5"/>
        <v>0</v>
      </c>
      <c r="G32" s="23">
        <f t="shared" si="5"/>
        <v>0.10000000000000009</v>
      </c>
      <c r="H32" s="23">
        <f t="shared" si="5"/>
        <v>0</v>
      </c>
      <c r="I32" s="23">
        <f t="shared" si="5"/>
        <v>2.842170943040401E-14</v>
      </c>
      <c r="J32" s="23">
        <f t="shared" si="5"/>
        <v>0</v>
      </c>
      <c r="K32" s="23">
        <f t="shared" si="5"/>
        <v>319.79999999999984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316.4000000000001</v>
      </c>
      <c r="P32" s="23">
        <f t="shared" si="5"/>
        <v>12.5</v>
      </c>
      <c r="Q32" s="23">
        <f t="shared" si="5"/>
        <v>0</v>
      </c>
      <c r="R32" s="23">
        <f t="shared" si="5"/>
        <v>0.2999999999999998</v>
      </c>
      <c r="S32" s="23">
        <f t="shared" si="5"/>
        <v>0</v>
      </c>
      <c r="T32" s="23">
        <f t="shared" si="5"/>
        <v>46.99999999999997</v>
      </c>
      <c r="U32" s="23">
        <f t="shared" si="5"/>
        <v>1.7000000000001823</v>
      </c>
      <c r="V32" s="23">
        <f t="shared" si="5"/>
        <v>431.6</v>
      </c>
      <c r="W32" s="23">
        <f t="shared" si="5"/>
        <v>16.3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1343.3000000000002</v>
      </c>
      <c r="AE32" s="28">
        <f>AE24-AE26-AE27-AE28-AE29-AE30-AE31</f>
        <v>323.1000000000008</v>
      </c>
    </row>
    <row r="33" spans="1:31" ht="15" customHeight="1">
      <c r="A33" s="4" t="s">
        <v>8</v>
      </c>
      <c r="B33" s="23">
        <v>769.3</v>
      </c>
      <c r="C33" s="23">
        <v>1557.8</v>
      </c>
      <c r="D33" s="23"/>
      <c r="E33" s="23"/>
      <c r="F33" s="23"/>
      <c r="G33" s="23"/>
      <c r="H33" s="23"/>
      <c r="I33" s="23"/>
      <c r="J33" s="27">
        <v>44.9</v>
      </c>
      <c r="K33" s="23">
        <v>0.6</v>
      </c>
      <c r="L33" s="23"/>
      <c r="M33" s="23"/>
      <c r="N33" s="23"/>
      <c r="O33" s="28"/>
      <c r="P33" s="23"/>
      <c r="Q33" s="28"/>
      <c r="R33" s="23"/>
      <c r="S33" s="27"/>
      <c r="T33" s="27">
        <v>7.5</v>
      </c>
      <c r="U33" s="27">
        <v>171.3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224.3</v>
      </c>
      <c r="AE33" s="28">
        <f aca="true" t="shared" si="6" ref="AE33:AE38">B33+C33-AD33</f>
        <v>2102.7999999999997</v>
      </c>
    </row>
    <row r="34" spans="1:31" ht="15.75">
      <c r="A34" s="3" t="s">
        <v>5</v>
      </c>
      <c r="B34" s="23">
        <f>134.8+0.6</f>
        <v>135.4</v>
      </c>
      <c r="C34" s="23">
        <v>9.8</v>
      </c>
      <c r="D34" s="23"/>
      <c r="E34" s="23"/>
      <c r="F34" s="23"/>
      <c r="G34" s="23"/>
      <c r="H34" s="23"/>
      <c r="I34" s="23"/>
      <c r="J34" s="27">
        <v>44.9</v>
      </c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>
        <v>89.3</v>
      </c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134.2</v>
      </c>
      <c r="AE34" s="28">
        <f t="shared" si="6"/>
        <v>11.000000000000028</v>
      </c>
    </row>
    <row r="35" spans="1:31" ht="15.75">
      <c r="A35" s="3" t="s">
        <v>1</v>
      </c>
      <c r="B35" s="23">
        <v>100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>
        <v>82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82</v>
      </c>
      <c r="AE35" s="28">
        <f t="shared" si="6"/>
        <v>18</v>
      </c>
    </row>
    <row r="36" spans="1:31" ht="15.75">
      <c r="A36" s="3" t="s">
        <v>2</v>
      </c>
      <c r="B36" s="45">
        <f>4.2-0.6</f>
        <v>3.6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0.3</v>
      </c>
      <c r="L36" s="23"/>
      <c r="M36" s="23"/>
      <c r="N36" s="23"/>
      <c r="O36" s="28"/>
      <c r="P36" s="23"/>
      <c r="Q36" s="28"/>
      <c r="R36" s="23"/>
      <c r="S36" s="27"/>
      <c r="T36" s="27">
        <v>7.3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7.6</v>
      </c>
      <c r="AE36" s="28">
        <f t="shared" si="6"/>
        <v>45.3</v>
      </c>
    </row>
    <row r="37" spans="1:31" ht="15.75">
      <c r="A37" s="3" t="s">
        <v>17</v>
      </c>
      <c r="B37" s="23">
        <v>500</v>
      </c>
      <c r="C37" s="23">
        <v>1400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1900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30.299999999999955</v>
      </c>
      <c r="C39" s="23">
        <f t="shared" si="7"/>
        <v>98.70000000000005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0.20000000000000018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0.5000000000000002</v>
      </c>
      <c r="AE39" s="28">
        <f>AE33-AE34-AE36-AE38-AE35-AE37</f>
        <v>128.49999999999977</v>
      </c>
    </row>
    <row r="40" spans="1:31" ht="15" customHeight="1">
      <c r="A40" s="4" t="s">
        <v>34</v>
      </c>
      <c r="B40" s="23">
        <f>558.9+1.5</f>
        <v>560.4</v>
      </c>
      <c r="C40" s="23">
        <v>47.7</v>
      </c>
      <c r="D40" s="23"/>
      <c r="E40" s="23"/>
      <c r="F40" s="23"/>
      <c r="G40" s="23"/>
      <c r="H40" s="23"/>
      <c r="I40" s="23"/>
      <c r="J40" s="27">
        <v>265.1</v>
      </c>
      <c r="K40" s="23"/>
      <c r="L40" s="23"/>
      <c r="M40" s="23">
        <v>0.7</v>
      </c>
      <c r="N40" s="23"/>
      <c r="O40" s="28"/>
      <c r="P40" s="23"/>
      <c r="Q40" s="28"/>
      <c r="R40" s="28"/>
      <c r="S40" s="27">
        <v>6.9</v>
      </c>
      <c r="T40" s="27">
        <v>276.6</v>
      </c>
      <c r="U40" s="27"/>
      <c r="V40" s="23">
        <v>1.6</v>
      </c>
      <c r="W40" s="27"/>
      <c r="X40" s="27"/>
      <c r="Y40" s="27"/>
      <c r="Z40" s="23"/>
      <c r="AA40" s="23"/>
      <c r="AB40" s="23"/>
      <c r="AC40" s="23"/>
      <c r="AD40" s="28">
        <f t="shared" si="1"/>
        <v>550.9</v>
      </c>
      <c r="AE40" s="28">
        <f aca="true" t="shared" si="8" ref="AE40:AE45">B40+C40-AD40</f>
        <v>57.200000000000045</v>
      </c>
    </row>
    <row r="41" spans="1:32" ht="15.75">
      <c r="A41" s="3" t="s">
        <v>5</v>
      </c>
      <c r="B41" s="23">
        <v>517.5</v>
      </c>
      <c r="C41" s="23">
        <v>9.3</v>
      </c>
      <c r="D41" s="23"/>
      <c r="E41" s="23"/>
      <c r="F41" s="23"/>
      <c r="G41" s="23"/>
      <c r="H41" s="23"/>
      <c r="I41" s="23"/>
      <c r="J41" s="27">
        <v>243.9</v>
      </c>
      <c r="K41" s="23"/>
      <c r="L41" s="23"/>
      <c r="M41" s="23"/>
      <c r="N41" s="23"/>
      <c r="O41" s="28"/>
      <c r="P41" s="23"/>
      <c r="Q41" s="28"/>
      <c r="R41" s="23"/>
      <c r="S41" s="27"/>
      <c r="T41" s="27">
        <v>273.5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517.4</v>
      </c>
      <c r="AE41" s="28">
        <f t="shared" si="8"/>
        <v>9.399999999999977</v>
      </c>
      <c r="AF41" s="6"/>
    </row>
    <row r="42" spans="1:31" ht="15.75">
      <c r="A42" s="3" t="s">
        <v>3</v>
      </c>
      <c r="B42" s="23">
        <v>0.4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0.4</v>
      </c>
    </row>
    <row r="43" spans="1:31" ht="15.75">
      <c r="A43" s="3" t="s">
        <v>1</v>
      </c>
      <c r="B43" s="23">
        <v>5.9</v>
      </c>
      <c r="C43" s="23">
        <v>3.8</v>
      </c>
      <c r="D43" s="23"/>
      <c r="E43" s="23"/>
      <c r="F43" s="23"/>
      <c r="G43" s="23"/>
      <c r="H43" s="23"/>
      <c r="I43" s="23"/>
      <c r="J43" s="27">
        <v>4.8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4.8</v>
      </c>
      <c r="AE43" s="28">
        <f t="shared" si="8"/>
        <v>4.8999999999999995</v>
      </c>
    </row>
    <row r="44" spans="1:31" ht="15.75">
      <c r="A44" s="3" t="s">
        <v>2</v>
      </c>
      <c r="B44" s="23">
        <v>5.2</v>
      </c>
      <c r="C44" s="23">
        <v>7.8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/>
      <c r="P44" s="23"/>
      <c r="Q44" s="28"/>
      <c r="R44" s="23"/>
      <c r="S44" s="27">
        <v>2.5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4.1</v>
      </c>
      <c r="AE44" s="28">
        <f t="shared" si="8"/>
        <v>8.9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31.39999999999998</v>
      </c>
      <c r="C46" s="23">
        <f t="shared" si="10"/>
        <v>26.800000000000008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15.900000000000016</v>
      </c>
      <c r="K46" s="23">
        <f t="shared" si="10"/>
        <v>0</v>
      </c>
      <c r="L46" s="23">
        <f t="shared" si="10"/>
        <v>0</v>
      </c>
      <c r="M46" s="23">
        <f t="shared" si="10"/>
        <v>0.7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4.4</v>
      </c>
      <c r="T46" s="23">
        <f t="shared" si="10"/>
        <v>2.0000000000000226</v>
      </c>
      <c r="U46" s="23">
        <f t="shared" si="10"/>
        <v>0</v>
      </c>
      <c r="V46" s="23">
        <f t="shared" si="10"/>
        <v>1.6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24.600000000000037</v>
      </c>
      <c r="AE46" s="28">
        <f>AE40-AE41-AE42-AE43-AE44-AE45</f>
        <v>33.60000000000007</v>
      </c>
    </row>
    <row r="47" spans="1:31" ht="17.25" customHeight="1">
      <c r="A47" s="4" t="s">
        <v>15</v>
      </c>
      <c r="B47" s="37">
        <f>1071.9+0.8-234</f>
        <v>838.7</v>
      </c>
      <c r="C47" s="23">
        <v>1410.4</v>
      </c>
      <c r="D47" s="23"/>
      <c r="E47" s="29">
        <v>80.9</v>
      </c>
      <c r="F47" s="29">
        <v>25.5</v>
      </c>
      <c r="G47" s="29"/>
      <c r="H47" s="29"/>
      <c r="I47" s="29">
        <v>113.7</v>
      </c>
      <c r="J47" s="30">
        <v>80.5</v>
      </c>
      <c r="K47" s="29">
        <v>28.5</v>
      </c>
      <c r="L47" s="29">
        <v>103.6</v>
      </c>
      <c r="M47" s="29">
        <v>8.6</v>
      </c>
      <c r="N47" s="29"/>
      <c r="O47" s="32">
        <v>2.8</v>
      </c>
      <c r="P47" s="29"/>
      <c r="Q47" s="29">
        <v>40.3</v>
      </c>
      <c r="R47" s="29"/>
      <c r="S47" s="30">
        <v>26.6</v>
      </c>
      <c r="T47" s="30">
        <v>27.8</v>
      </c>
      <c r="U47" s="29">
        <v>148.5</v>
      </c>
      <c r="V47" s="29">
        <v>16.2</v>
      </c>
      <c r="W47" s="30"/>
      <c r="X47" s="30"/>
      <c r="Y47" s="30"/>
      <c r="Z47" s="29"/>
      <c r="AA47" s="29"/>
      <c r="AB47" s="29"/>
      <c r="AC47" s="29"/>
      <c r="AD47" s="28">
        <f t="shared" si="9"/>
        <v>703.5000000000001</v>
      </c>
      <c r="AE47" s="28">
        <f>B47+C47-AD47</f>
        <v>1545.6000000000004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981.8+0.8-234+0.2</f>
        <v>748.8</v>
      </c>
      <c r="C49" s="23">
        <v>1316</v>
      </c>
      <c r="D49" s="23"/>
      <c r="E49" s="23">
        <v>80.1</v>
      </c>
      <c r="F49" s="23">
        <v>25.4</v>
      </c>
      <c r="G49" s="23"/>
      <c r="H49" s="23"/>
      <c r="I49" s="23">
        <v>112.7</v>
      </c>
      <c r="J49" s="27">
        <v>79.8</v>
      </c>
      <c r="K49" s="23">
        <v>28.5</v>
      </c>
      <c r="L49" s="23">
        <v>103.5</v>
      </c>
      <c r="M49" s="23">
        <v>8.5</v>
      </c>
      <c r="N49" s="23"/>
      <c r="O49" s="28">
        <v>2.8</v>
      </c>
      <c r="P49" s="23"/>
      <c r="Q49" s="23">
        <v>39.9</v>
      </c>
      <c r="R49" s="23"/>
      <c r="S49" s="27">
        <v>26.4</v>
      </c>
      <c r="T49" s="27"/>
      <c r="U49" s="23">
        <v>148.5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656.0999999999999</v>
      </c>
      <c r="AE49" s="28">
        <f>B49+C49-AD49</f>
        <v>1408.7000000000003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89.90000000000009</v>
      </c>
      <c r="C51" s="23">
        <f t="shared" si="11"/>
        <v>94.40000000000009</v>
      </c>
      <c r="D51" s="23">
        <f t="shared" si="11"/>
        <v>0</v>
      </c>
      <c r="E51" s="23">
        <f t="shared" si="11"/>
        <v>0.8000000000000114</v>
      </c>
      <c r="F51" s="23">
        <f t="shared" si="11"/>
        <v>0.10000000000000142</v>
      </c>
      <c r="G51" s="23">
        <f t="shared" si="11"/>
        <v>0</v>
      </c>
      <c r="H51" s="23">
        <f t="shared" si="11"/>
        <v>0</v>
      </c>
      <c r="I51" s="23">
        <f t="shared" si="11"/>
        <v>1</v>
      </c>
      <c r="J51" s="23">
        <f t="shared" si="11"/>
        <v>0.7000000000000028</v>
      </c>
      <c r="K51" s="23">
        <f t="shared" si="11"/>
        <v>0</v>
      </c>
      <c r="L51" s="23">
        <f t="shared" si="11"/>
        <v>0.09999999999999432</v>
      </c>
      <c r="M51" s="23">
        <f t="shared" si="11"/>
        <v>0.09999999999999964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0.20000000000000284</v>
      </c>
      <c r="T51" s="23">
        <f t="shared" si="11"/>
        <v>27.8</v>
      </c>
      <c r="U51" s="23">
        <f t="shared" si="11"/>
        <v>0</v>
      </c>
      <c r="V51" s="23">
        <f t="shared" si="11"/>
        <v>16.2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47.400000000000006</v>
      </c>
      <c r="AE51" s="28">
        <f>AE47-AE49-AE48</f>
        <v>136.9000000000001</v>
      </c>
    </row>
    <row r="52" spans="1:31" ht="15" customHeight="1">
      <c r="A52" s="4" t="s">
        <v>0</v>
      </c>
      <c r="B52" s="23">
        <v>3835</v>
      </c>
      <c r="C52" s="23">
        <v>785.4</v>
      </c>
      <c r="D52" s="23">
        <v>2594.9</v>
      </c>
      <c r="E52" s="23">
        <v>200.2</v>
      </c>
      <c r="F52" s="23"/>
      <c r="G52" s="23"/>
      <c r="H52" s="23"/>
      <c r="I52" s="23"/>
      <c r="J52" s="27">
        <v>13</v>
      </c>
      <c r="K52" s="23">
        <v>112.1</v>
      </c>
      <c r="L52" s="23">
        <v>15.7</v>
      </c>
      <c r="M52" s="23">
        <v>7.1</v>
      </c>
      <c r="N52" s="23"/>
      <c r="O52" s="28">
        <v>24.4</v>
      </c>
      <c r="P52" s="23">
        <v>5.9</v>
      </c>
      <c r="Q52" s="23">
        <v>58.8</v>
      </c>
      <c r="R52" s="23"/>
      <c r="S52" s="27"/>
      <c r="T52" s="27">
        <v>58.7</v>
      </c>
      <c r="U52" s="27">
        <v>72.9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3163.7</v>
      </c>
      <c r="AE52" s="28">
        <f aca="true" t="shared" si="12" ref="AE52:AE59">B52+C52-AD52</f>
        <v>1456.6999999999998</v>
      </c>
    </row>
    <row r="53" spans="1:31" ht="15" customHeight="1">
      <c r="A53" s="3" t="s">
        <v>2</v>
      </c>
      <c r="B53" s="23">
        <v>414</v>
      </c>
      <c r="C53" s="23">
        <v>281.7</v>
      </c>
      <c r="D53" s="23"/>
      <c r="E53" s="23">
        <v>200.2</v>
      </c>
      <c r="F53" s="23"/>
      <c r="G53" s="23"/>
      <c r="H53" s="23"/>
      <c r="I53" s="23"/>
      <c r="J53" s="27"/>
      <c r="K53" s="23"/>
      <c r="L53" s="23">
        <v>15.7</v>
      </c>
      <c r="M53" s="23">
        <v>7.1</v>
      </c>
      <c r="N53" s="23"/>
      <c r="O53" s="28"/>
      <c r="P53" s="23">
        <v>5.9</v>
      </c>
      <c r="Q53" s="23"/>
      <c r="R53" s="23"/>
      <c r="S53" s="27"/>
      <c r="T53" s="27">
        <v>55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283.9</v>
      </c>
      <c r="AE53" s="28">
        <f t="shared" si="12"/>
        <v>411.80000000000007</v>
      </c>
    </row>
    <row r="54" spans="1:32" ht="15" customHeight="1">
      <c r="A54" s="4" t="s">
        <v>9</v>
      </c>
      <c r="B54" s="45">
        <f>7003.7+80.3+5</f>
        <v>7089</v>
      </c>
      <c r="C54" s="23">
        <v>902.2</v>
      </c>
      <c r="D54" s="23"/>
      <c r="E54" s="23">
        <v>333.3</v>
      </c>
      <c r="F54" s="23">
        <v>161</v>
      </c>
      <c r="G54" s="23">
        <v>2</v>
      </c>
      <c r="H54" s="23"/>
      <c r="I54" s="23"/>
      <c r="J54" s="27">
        <v>4175.2</v>
      </c>
      <c r="K54" s="23">
        <v>25.1</v>
      </c>
      <c r="L54" s="23">
        <v>56.5</v>
      </c>
      <c r="M54" s="23">
        <v>1.5</v>
      </c>
      <c r="N54" s="23">
        <v>62.9</v>
      </c>
      <c r="O54" s="28">
        <v>119.5</v>
      </c>
      <c r="P54" s="23"/>
      <c r="Q54" s="28">
        <v>68</v>
      </c>
      <c r="R54" s="23">
        <v>2.1</v>
      </c>
      <c r="S54" s="27">
        <v>36.5</v>
      </c>
      <c r="T54" s="27">
        <v>1937.1</v>
      </c>
      <c r="U54" s="27">
        <v>1.5</v>
      </c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6982.200000000001</v>
      </c>
      <c r="AE54" s="23">
        <f t="shared" si="12"/>
        <v>1008.9999999999991</v>
      </c>
      <c r="AF54" s="6"/>
    </row>
    <row r="55" spans="1:32" ht="15.75">
      <c r="A55" s="3" t="s">
        <v>5</v>
      </c>
      <c r="B55" s="23">
        <f>6065.8+7.3-0.1</f>
        <v>6073</v>
      </c>
      <c r="C55" s="23">
        <v>28.2</v>
      </c>
      <c r="D55" s="23"/>
      <c r="E55" s="23"/>
      <c r="F55" s="23"/>
      <c r="G55" s="23"/>
      <c r="H55" s="23"/>
      <c r="I55" s="23"/>
      <c r="J55" s="27">
        <v>4003.5</v>
      </c>
      <c r="K55" s="23"/>
      <c r="L55" s="23">
        <v>27.3</v>
      </c>
      <c r="M55" s="23"/>
      <c r="N55" s="23"/>
      <c r="O55" s="28"/>
      <c r="P55" s="23"/>
      <c r="Q55" s="28"/>
      <c r="R55" s="23"/>
      <c r="S55" s="27"/>
      <c r="T55" s="27">
        <v>1811.7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5842.5</v>
      </c>
      <c r="AE55" s="23">
        <f t="shared" si="12"/>
        <v>258.6999999999998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62.6-7.4</f>
        <v>55.2</v>
      </c>
      <c r="C57" s="23">
        <v>328.1</v>
      </c>
      <c r="D57" s="23"/>
      <c r="E57" s="23"/>
      <c r="F57" s="23">
        <v>1.9</v>
      </c>
      <c r="G57" s="23"/>
      <c r="H57" s="23"/>
      <c r="I57" s="23"/>
      <c r="J57" s="27">
        <v>4</v>
      </c>
      <c r="K57" s="23"/>
      <c r="L57" s="23">
        <v>0.1</v>
      </c>
      <c r="M57" s="23"/>
      <c r="N57" s="23">
        <v>0.2</v>
      </c>
      <c r="O57" s="28"/>
      <c r="P57" s="23"/>
      <c r="Q57" s="28">
        <v>2.4</v>
      </c>
      <c r="R57" s="23"/>
      <c r="S57" s="27">
        <v>5.5</v>
      </c>
      <c r="T57" s="27">
        <v>0.5</v>
      </c>
      <c r="U57" s="27">
        <v>1.5</v>
      </c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16.1</v>
      </c>
      <c r="AE57" s="23">
        <f t="shared" si="12"/>
        <v>367.2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960.8</v>
      </c>
      <c r="C60" s="23">
        <f t="shared" si="13"/>
        <v>525.9</v>
      </c>
      <c r="D60" s="23">
        <f t="shared" si="13"/>
        <v>0</v>
      </c>
      <c r="E60" s="23">
        <f t="shared" si="13"/>
        <v>333.3</v>
      </c>
      <c r="F60" s="23">
        <f t="shared" si="13"/>
        <v>159.1</v>
      </c>
      <c r="G60" s="23">
        <f t="shared" si="13"/>
        <v>2</v>
      </c>
      <c r="H60" s="23">
        <f t="shared" si="13"/>
        <v>0</v>
      </c>
      <c r="I60" s="23">
        <f t="shared" si="13"/>
        <v>0</v>
      </c>
      <c r="J60" s="23">
        <f t="shared" si="13"/>
        <v>167.69999999999982</v>
      </c>
      <c r="K60" s="23">
        <f t="shared" si="13"/>
        <v>25.1</v>
      </c>
      <c r="L60" s="23">
        <f t="shared" si="13"/>
        <v>29.099999999999998</v>
      </c>
      <c r="M60" s="23">
        <f t="shared" si="13"/>
        <v>1.5</v>
      </c>
      <c r="N60" s="23">
        <f t="shared" si="13"/>
        <v>62.699999999999996</v>
      </c>
      <c r="O60" s="23">
        <f t="shared" si="13"/>
        <v>119.5</v>
      </c>
      <c r="P60" s="23">
        <f t="shared" si="13"/>
        <v>0</v>
      </c>
      <c r="Q60" s="23">
        <f t="shared" si="13"/>
        <v>65.6</v>
      </c>
      <c r="R60" s="23">
        <f t="shared" si="13"/>
        <v>2.1</v>
      </c>
      <c r="S60" s="23">
        <f t="shared" si="13"/>
        <v>31</v>
      </c>
      <c r="T60" s="23">
        <f t="shared" si="13"/>
        <v>124.89999999999986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1123.6000000000008</v>
      </c>
      <c r="AE60" s="23">
        <f>AE54-AE55-AE57-AE59-AE56-AE58</f>
        <v>363.0999999999993</v>
      </c>
    </row>
    <row r="61" spans="1:31" ht="15" customHeight="1">
      <c r="A61" s="4" t="s">
        <v>10</v>
      </c>
      <c r="B61" s="23">
        <f>63.8+3</f>
        <v>66.8</v>
      </c>
      <c r="C61" s="23">
        <v>92.9</v>
      </c>
      <c r="D61" s="23"/>
      <c r="E61" s="23"/>
      <c r="F61" s="23"/>
      <c r="G61" s="23"/>
      <c r="H61" s="23"/>
      <c r="I61" s="23"/>
      <c r="J61" s="27"/>
      <c r="K61" s="23">
        <v>26.1</v>
      </c>
      <c r="L61" s="23">
        <v>70.2</v>
      </c>
      <c r="M61" s="23"/>
      <c r="N61" s="23"/>
      <c r="O61" s="28">
        <v>6</v>
      </c>
      <c r="P61" s="23"/>
      <c r="Q61" s="28"/>
      <c r="R61" s="23"/>
      <c r="S61" s="27"/>
      <c r="T61" s="27"/>
      <c r="U61" s="27">
        <v>6</v>
      </c>
      <c r="V61" s="23">
        <v>27.3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135.60000000000002</v>
      </c>
      <c r="AE61" s="23">
        <f aca="true" t="shared" si="15" ref="AE61:AE67">B61+C61-AD61</f>
        <v>24.099999999999966</v>
      </c>
    </row>
    <row r="62" spans="1:31" ht="15" customHeight="1">
      <c r="A62" s="4" t="s">
        <v>11</v>
      </c>
      <c r="B62" s="23">
        <v>1344.4</v>
      </c>
      <c r="C62" s="23">
        <v>797</v>
      </c>
      <c r="D62" s="23"/>
      <c r="E62" s="23"/>
      <c r="F62" s="23"/>
      <c r="G62" s="23"/>
      <c r="H62" s="23"/>
      <c r="I62" s="23">
        <v>66.2</v>
      </c>
      <c r="J62" s="27">
        <v>423.1</v>
      </c>
      <c r="K62" s="23"/>
      <c r="L62" s="23"/>
      <c r="M62" s="23"/>
      <c r="N62" s="23"/>
      <c r="O62" s="28"/>
      <c r="P62" s="23"/>
      <c r="Q62" s="28"/>
      <c r="R62" s="23"/>
      <c r="S62" s="27">
        <v>90.3</v>
      </c>
      <c r="T62" s="27"/>
      <c r="U62" s="27">
        <v>68.5</v>
      </c>
      <c r="V62" s="23">
        <v>866.6</v>
      </c>
      <c r="W62" s="27">
        <v>0.1</v>
      </c>
      <c r="X62" s="27"/>
      <c r="Y62" s="27"/>
      <c r="Z62" s="23"/>
      <c r="AA62" s="23"/>
      <c r="AB62" s="23"/>
      <c r="AC62" s="23"/>
      <c r="AD62" s="28">
        <f t="shared" si="14"/>
        <v>1514.8</v>
      </c>
      <c r="AE62" s="23">
        <f t="shared" si="15"/>
        <v>626.6000000000001</v>
      </c>
    </row>
    <row r="63" spans="1:32" ht="15.75">
      <c r="A63" s="3" t="s">
        <v>5</v>
      </c>
      <c r="B63" s="23">
        <v>977.5</v>
      </c>
      <c r="C63" s="23">
        <v>179.6</v>
      </c>
      <c r="D63" s="23"/>
      <c r="E63" s="23"/>
      <c r="F63" s="23"/>
      <c r="G63" s="23"/>
      <c r="H63" s="23"/>
      <c r="I63" s="23"/>
      <c r="J63" s="27">
        <v>358</v>
      </c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>
        <v>766.6</v>
      </c>
      <c r="W63" s="27"/>
      <c r="X63" s="27"/>
      <c r="Y63" s="27"/>
      <c r="Z63" s="23"/>
      <c r="AA63" s="23"/>
      <c r="AB63" s="23"/>
      <c r="AC63" s="23"/>
      <c r="AD63" s="28">
        <f t="shared" si="14"/>
        <v>1124.6</v>
      </c>
      <c r="AE63" s="23">
        <f t="shared" si="15"/>
        <v>32.5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22.3</v>
      </c>
      <c r="C65" s="23">
        <v>26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8.4</v>
      </c>
      <c r="T65" s="27"/>
      <c r="U65" s="27">
        <v>14.1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22.5</v>
      </c>
      <c r="AE65" s="23">
        <f t="shared" si="15"/>
        <v>25.799999999999997</v>
      </c>
      <c r="AF65" s="6"/>
    </row>
    <row r="66" spans="1:31" ht="15.75">
      <c r="A66" s="3" t="s">
        <v>2</v>
      </c>
      <c r="B66" s="23">
        <v>14</v>
      </c>
      <c r="C66" s="23">
        <v>10.1</v>
      </c>
      <c r="D66" s="23"/>
      <c r="E66" s="23"/>
      <c r="F66" s="23"/>
      <c r="G66" s="23"/>
      <c r="H66" s="23"/>
      <c r="I66" s="23">
        <v>3.6</v>
      </c>
      <c r="J66" s="27"/>
      <c r="K66" s="23"/>
      <c r="L66" s="23"/>
      <c r="M66" s="23"/>
      <c r="N66" s="23"/>
      <c r="O66" s="28"/>
      <c r="P66" s="23"/>
      <c r="Q66" s="23"/>
      <c r="R66" s="23"/>
      <c r="S66" s="27">
        <v>2.4</v>
      </c>
      <c r="T66" s="27"/>
      <c r="U66" s="27">
        <v>6.1</v>
      </c>
      <c r="V66" s="23"/>
      <c r="W66" s="27">
        <v>0.1</v>
      </c>
      <c r="X66" s="27"/>
      <c r="Y66" s="27"/>
      <c r="Z66" s="23"/>
      <c r="AA66" s="23"/>
      <c r="AB66" s="23"/>
      <c r="AC66" s="23"/>
      <c r="AD66" s="28">
        <f t="shared" si="14"/>
        <v>12.2</v>
      </c>
      <c r="AE66" s="23">
        <f t="shared" si="15"/>
        <v>11.900000000000002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330.6000000000001</v>
      </c>
      <c r="C68" s="23">
        <f t="shared" si="16"/>
        <v>581.3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62.6</v>
      </c>
      <c r="J68" s="23">
        <f t="shared" si="16"/>
        <v>65.10000000000002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79.49999999999999</v>
      </c>
      <c r="T68" s="23">
        <f t="shared" si="16"/>
        <v>0</v>
      </c>
      <c r="U68" s="23">
        <f t="shared" si="16"/>
        <v>48.3</v>
      </c>
      <c r="V68" s="23">
        <f t="shared" si="16"/>
        <v>100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355.5</v>
      </c>
      <c r="AE68" s="23">
        <f>AE62-AE63-AE66-AE67-AE65-AE64</f>
        <v>556.4000000000002</v>
      </c>
    </row>
    <row r="69" spans="1:31" ht="31.5">
      <c r="A69" s="4" t="s">
        <v>33</v>
      </c>
      <c r="B69" s="23">
        <v>468.8</v>
      </c>
      <c r="C69" s="23">
        <v>566.2</v>
      </c>
      <c r="D69" s="23"/>
      <c r="E69" s="23"/>
      <c r="F69" s="23"/>
      <c r="G69" s="23"/>
      <c r="H69" s="23"/>
      <c r="I69" s="23"/>
      <c r="J69" s="27"/>
      <c r="K69" s="23"/>
      <c r="L69" s="23"/>
      <c r="M69" s="23">
        <v>809.5</v>
      </c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809.5</v>
      </c>
      <c r="AE69" s="31">
        <f aca="true" t="shared" si="17" ref="AE69:AE91">B69+C69-AD69</f>
        <v>225.5</v>
      </c>
    </row>
    <row r="70" spans="1:31" ht="15.75">
      <c r="A70" s="4" t="s">
        <v>42</v>
      </c>
      <c r="B70" s="23">
        <f>5.6+0.1</f>
        <v>5.699999999999999</v>
      </c>
      <c r="C70" s="23">
        <v>0.6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0.7999999999999989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460.1-80.3-26.1-28.6+234-0.1</f>
        <v>558.9999999999999</v>
      </c>
      <c r="C72" s="23">
        <v>2385.5</v>
      </c>
      <c r="D72" s="23">
        <v>16.3</v>
      </c>
      <c r="E72" s="23">
        <v>23.5</v>
      </c>
      <c r="F72" s="23">
        <v>6.6</v>
      </c>
      <c r="G72" s="23">
        <v>2.5</v>
      </c>
      <c r="H72" s="23">
        <v>10.6</v>
      </c>
      <c r="I72" s="23">
        <v>60.5</v>
      </c>
      <c r="J72" s="27">
        <v>108.7</v>
      </c>
      <c r="K72" s="23">
        <v>10.3</v>
      </c>
      <c r="L72" s="23">
        <v>46.1</v>
      </c>
      <c r="M72" s="23">
        <v>8.1</v>
      </c>
      <c r="N72" s="23">
        <v>79</v>
      </c>
      <c r="O72" s="23"/>
      <c r="P72" s="23">
        <v>5.7</v>
      </c>
      <c r="Q72" s="28">
        <v>1.1</v>
      </c>
      <c r="R72" s="23"/>
      <c r="S72" s="27">
        <v>7.9</v>
      </c>
      <c r="T72" s="27">
        <v>0.2</v>
      </c>
      <c r="U72" s="27">
        <v>116</v>
      </c>
      <c r="V72" s="23">
        <v>0.1</v>
      </c>
      <c r="W72" s="27">
        <v>6.2</v>
      </c>
      <c r="X72" s="27"/>
      <c r="Y72" s="27"/>
      <c r="Z72" s="23"/>
      <c r="AA72" s="23"/>
      <c r="AB72" s="23"/>
      <c r="AC72" s="23"/>
      <c r="AD72" s="28">
        <f t="shared" si="14"/>
        <v>509.40000000000003</v>
      </c>
      <c r="AE72" s="31">
        <f t="shared" si="17"/>
        <v>2435.1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>
        <v>16.7</v>
      </c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</v>
      </c>
      <c r="C74" s="23">
        <v>127.2</v>
      </c>
      <c r="D74" s="23"/>
      <c r="E74" s="23">
        <v>15.9</v>
      </c>
      <c r="F74" s="23"/>
      <c r="G74" s="23"/>
      <c r="H74" s="23"/>
      <c r="I74" s="23"/>
      <c r="J74" s="27"/>
      <c r="K74" s="23">
        <v>0.3</v>
      </c>
      <c r="L74" s="23">
        <v>4.8</v>
      </c>
      <c r="M74" s="23"/>
      <c r="N74" s="23">
        <v>38.1</v>
      </c>
      <c r="O74" s="23"/>
      <c r="P74" s="23">
        <v>4</v>
      </c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63.1</v>
      </c>
      <c r="AE74" s="31">
        <f t="shared" si="17"/>
        <v>87.1</v>
      </c>
    </row>
    <row r="75" spans="1:31" s="11" customFormat="1" ht="31.5">
      <c r="A75" s="12" t="s">
        <v>21</v>
      </c>
      <c r="B75" s="23">
        <v>82.6</v>
      </c>
      <c r="C75" s="23">
        <v>585.8</v>
      </c>
      <c r="D75" s="23"/>
      <c r="E75" s="29"/>
      <c r="F75" s="29"/>
      <c r="G75" s="29"/>
      <c r="H75" s="29"/>
      <c r="I75" s="29"/>
      <c r="J75" s="30">
        <v>1.3</v>
      </c>
      <c r="K75" s="29">
        <v>25.6</v>
      </c>
      <c r="L75" s="29"/>
      <c r="M75" s="29"/>
      <c r="N75" s="29">
        <v>4.3</v>
      </c>
      <c r="O75" s="29"/>
      <c r="P75" s="29"/>
      <c r="Q75" s="32">
        <v>48.8</v>
      </c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80</v>
      </c>
      <c r="AE75" s="31">
        <f t="shared" si="17"/>
        <v>588.4</v>
      </c>
    </row>
    <row r="76" spans="1:31" s="11" customFormat="1" ht="15.75">
      <c r="A76" s="3" t="s">
        <v>5</v>
      </c>
      <c r="B76" s="23">
        <v>78.3</v>
      </c>
      <c r="C76" s="23">
        <v>0.7</v>
      </c>
      <c r="D76" s="23"/>
      <c r="E76" s="29"/>
      <c r="F76" s="29"/>
      <c r="G76" s="29"/>
      <c r="H76" s="29"/>
      <c r="I76" s="29"/>
      <c r="J76" s="30"/>
      <c r="K76" s="29">
        <v>25.6</v>
      </c>
      <c r="L76" s="29"/>
      <c r="M76" s="29"/>
      <c r="N76" s="29"/>
      <c r="O76" s="29"/>
      <c r="P76" s="29"/>
      <c r="Q76" s="32">
        <v>47</v>
      </c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0.2</v>
      </c>
      <c r="C79" s="23">
        <v>0.4</v>
      </c>
      <c r="D79" s="23"/>
      <c r="E79" s="29"/>
      <c r="F79" s="29"/>
      <c r="G79" s="29"/>
      <c r="H79" s="29"/>
      <c r="I79" s="29"/>
      <c r="J79" s="30">
        <v>0.3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0.3000000000000001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0.3</v>
      </c>
      <c r="C87" s="23">
        <f>1924.1-274.5</f>
        <v>1649.6</v>
      </c>
      <c r="D87" s="23"/>
      <c r="E87" s="23">
        <v>68.6</v>
      </c>
      <c r="F87" s="23"/>
      <c r="G87" s="23"/>
      <c r="H87" s="23">
        <v>570.3</v>
      </c>
      <c r="I87" s="23"/>
      <c r="J87" s="23">
        <v>22.4</v>
      </c>
      <c r="K87" s="23"/>
      <c r="L87" s="23"/>
      <c r="M87" s="23"/>
      <c r="N87" s="23"/>
      <c r="O87" s="23"/>
      <c r="P87" s="23"/>
      <c r="Q87" s="23"/>
      <c r="R87" s="23"/>
      <c r="S87" s="27">
        <v>44.4</v>
      </c>
      <c r="T87" s="27">
        <v>39.9</v>
      </c>
      <c r="U87" s="23">
        <v>585.7</v>
      </c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1331.3</v>
      </c>
      <c r="AE87" s="23">
        <f t="shared" si="17"/>
        <v>318.5999999999999</v>
      </c>
      <c r="AF87" s="11"/>
    </row>
    <row r="88" spans="1:32" ht="15.75">
      <c r="A88" s="4" t="s">
        <v>54</v>
      </c>
      <c r="B88" s="23">
        <v>350</v>
      </c>
      <c r="C88" s="23">
        <v>1258.7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>
        <v>64.6</v>
      </c>
      <c r="W88" s="27"/>
      <c r="X88" s="27"/>
      <c r="Y88" s="27"/>
      <c r="Z88" s="23"/>
      <c r="AA88" s="23"/>
      <c r="AB88" s="23"/>
      <c r="AC88" s="23"/>
      <c r="AD88" s="28">
        <f t="shared" si="14"/>
        <v>64.6</v>
      </c>
      <c r="AE88" s="23">
        <f t="shared" si="17"/>
        <v>1544.1000000000001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949.9+23.1+274.6</f>
        <v>1247.6</v>
      </c>
      <c r="C91" s="23">
        <v>2189.4</v>
      </c>
      <c r="D91" s="23">
        <v>2189.4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>
        <v>1247.6</v>
      </c>
      <c r="X91" s="27"/>
      <c r="Y91" s="27"/>
      <c r="Z91" s="23"/>
      <c r="AA91" s="23"/>
      <c r="AB91" s="23"/>
      <c r="AC91" s="23"/>
      <c r="AD91" s="28">
        <f t="shared" si="14"/>
        <v>3437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87815.90000000001</v>
      </c>
      <c r="C93" s="43">
        <f t="shared" si="18"/>
        <v>24012.8</v>
      </c>
      <c r="D93" s="43">
        <f t="shared" si="18"/>
        <v>5454.1</v>
      </c>
      <c r="E93" s="43">
        <f t="shared" si="18"/>
        <v>7005.2</v>
      </c>
      <c r="F93" s="43">
        <f t="shared" si="18"/>
        <v>797.6</v>
      </c>
      <c r="G93" s="43">
        <f t="shared" si="18"/>
        <v>9284.4</v>
      </c>
      <c r="H93" s="43">
        <f t="shared" si="18"/>
        <v>639.5999999999999</v>
      </c>
      <c r="I93" s="43">
        <f t="shared" si="18"/>
        <v>914.2</v>
      </c>
      <c r="J93" s="43">
        <f t="shared" si="18"/>
        <v>6291.8</v>
      </c>
      <c r="K93" s="43">
        <f t="shared" si="18"/>
        <v>22919.599999999995</v>
      </c>
      <c r="L93" s="43">
        <f t="shared" si="18"/>
        <v>749.7</v>
      </c>
      <c r="M93" s="43">
        <f t="shared" si="18"/>
        <v>1269.3999999999999</v>
      </c>
      <c r="N93" s="43">
        <f t="shared" si="18"/>
        <v>489.2</v>
      </c>
      <c r="O93" s="43">
        <f t="shared" si="18"/>
        <v>2503.6000000000004</v>
      </c>
      <c r="P93" s="43">
        <f t="shared" si="18"/>
        <v>235.79999999999998</v>
      </c>
      <c r="Q93" s="43">
        <f t="shared" si="18"/>
        <v>619.5</v>
      </c>
      <c r="R93" s="43">
        <f t="shared" si="18"/>
        <v>634.5</v>
      </c>
      <c r="S93" s="43">
        <f t="shared" si="18"/>
        <v>613.6999999999999</v>
      </c>
      <c r="T93" s="43">
        <f t="shared" si="18"/>
        <v>7864.2</v>
      </c>
      <c r="U93" s="43">
        <f t="shared" si="18"/>
        <v>19583.300000000003</v>
      </c>
      <c r="V93" s="43">
        <f t="shared" si="18"/>
        <v>2397.6</v>
      </c>
      <c r="W93" s="43">
        <f t="shared" si="18"/>
        <v>1921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92188</v>
      </c>
      <c r="AE93" s="59">
        <f>AE10+AE15+AE24+AE33+AE47+AE52+AE54+AE61+AE62+AE69+AE71+AE72+AE75+AE80+AE81+AE82+AE87+AE88+AE89+AE90+AE70+AE40+AE91</f>
        <v>19640.7</v>
      </c>
    </row>
    <row r="94" spans="1:31" ht="15.75">
      <c r="A94" s="3" t="s">
        <v>5</v>
      </c>
      <c r="B94" s="23">
        <f aca="true" t="shared" si="19" ref="B94:AB94">B11+B17+B26+B34+B55+B63+B73+B41+B76</f>
        <v>66397.4</v>
      </c>
      <c r="C94" s="23">
        <f t="shared" si="19"/>
        <v>1522.3999999999999</v>
      </c>
      <c r="D94" s="23">
        <f t="shared" si="19"/>
        <v>653.5</v>
      </c>
      <c r="E94" s="23">
        <f t="shared" si="19"/>
        <v>4672.4</v>
      </c>
      <c r="F94" s="23">
        <f t="shared" si="19"/>
        <v>12.7</v>
      </c>
      <c r="G94" s="23">
        <f t="shared" si="19"/>
        <v>6948.200000000001</v>
      </c>
      <c r="H94" s="23">
        <f t="shared" si="19"/>
        <v>58.4</v>
      </c>
      <c r="I94" s="23">
        <f t="shared" si="19"/>
        <v>124.69999999999999</v>
      </c>
      <c r="J94" s="23">
        <f t="shared" si="19"/>
        <v>5393.4</v>
      </c>
      <c r="K94" s="23">
        <f t="shared" si="19"/>
        <v>21696.6</v>
      </c>
      <c r="L94" s="23">
        <f t="shared" si="19"/>
        <v>321.7</v>
      </c>
      <c r="M94" s="23">
        <f t="shared" si="19"/>
        <v>0</v>
      </c>
      <c r="N94" s="23">
        <f t="shared" si="19"/>
        <v>66</v>
      </c>
      <c r="O94" s="23">
        <f t="shared" si="19"/>
        <v>0</v>
      </c>
      <c r="P94" s="23">
        <f t="shared" si="19"/>
        <v>70.5</v>
      </c>
      <c r="Q94" s="23">
        <f t="shared" si="19"/>
        <v>66.1</v>
      </c>
      <c r="R94" s="23">
        <f t="shared" si="19"/>
        <v>0</v>
      </c>
      <c r="S94" s="23">
        <f t="shared" si="19"/>
        <v>373.9</v>
      </c>
      <c r="T94" s="23">
        <f t="shared" si="19"/>
        <v>6918.299999999999</v>
      </c>
      <c r="U94" s="23">
        <f t="shared" si="19"/>
        <v>18356</v>
      </c>
      <c r="V94" s="23">
        <f t="shared" si="19"/>
        <v>1284.6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67017</v>
      </c>
      <c r="AE94" s="28">
        <f>B94+C94-AD94</f>
        <v>902.7999999999884</v>
      </c>
    </row>
    <row r="95" spans="1:31" ht="15.75">
      <c r="A95" s="3" t="s">
        <v>2</v>
      </c>
      <c r="B95" s="23">
        <f aca="true" t="shared" si="20" ref="B95:AB95">B12+B20+B29+B36+B57+B66+B44+B79+B74+B53</f>
        <v>6126.3</v>
      </c>
      <c r="C95" s="23">
        <f t="shared" si="20"/>
        <v>4372.3</v>
      </c>
      <c r="D95" s="23">
        <f t="shared" si="20"/>
        <v>0</v>
      </c>
      <c r="E95" s="23">
        <f t="shared" si="20"/>
        <v>1370.8000000000002</v>
      </c>
      <c r="F95" s="23">
        <f t="shared" si="20"/>
        <v>223.6</v>
      </c>
      <c r="G95" s="23">
        <f t="shared" si="20"/>
        <v>2142.6</v>
      </c>
      <c r="H95" s="23">
        <f t="shared" si="20"/>
        <v>0</v>
      </c>
      <c r="I95" s="23">
        <f t="shared" si="20"/>
        <v>109</v>
      </c>
      <c r="J95" s="23">
        <f t="shared" si="20"/>
        <v>44.199999999999996</v>
      </c>
      <c r="K95" s="23">
        <f t="shared" si="20"/>
        <v>2.3</v>
      </c>
      <c r="L95" s="23">
        <f t="shared" si="20"/>
        <v>50.599999999999994</v>
      </c>
      <c r="M95" s="23">
        <f t="shared" si="20"/>
        <v>260.6</v>
      </c>
      <c r="N95" s="23">
        <f t="shared" si="20"/>
        <v>302</v>
      </c>
      <c r="O95" s="23">
        <f t="shared" si="20"/>
        <v>1264</v>
      </c>
      <c r="P95" s="23">
        <f t="shared" si="20"/>
        <v>128.9</v>
      </c>
      <c r="Q95" s="23">
        <f t="shared" si="20"/>
        <v>311.29999999999995</v>
      </c>
      <c r="R95" s="23">
        <f t="shared" si="20"/>
        <v>0</v>
      </c>
      <c r="S95" s="23">
        <f t="shared" si="20"/>
        <v>13.4</v>
      </c>
      <c r="T95" s="23">
        <f t="shared" si="20"/>
        <v>347.8</v>
      </c>
      <c r="U95" s="23">
        <f t="shared" si="20"/>
        <v>83.6</v>
      </c>
      <c r="V95" s="23">
        <f t="shared" si="20"/>
        <v>134.8</v>
      </c>
      <c r="W95" s="23">
        <f t="shared" si="20"/>
        <v>0.1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6789.6</v>
      </c>
      <c r="AE95" s="28">
        <f>B95+C95-AD95</f>
        <v>3709</v>
      </c>
    </row>
    <row r="96" spans="1:31" ht="15.75">
      <c r="A96" s="3" t="s">
        <v>3</v>
      </c>
      <c r="B96" s="23">
        <f aca="true" t="shared" si="21" ref="B96:Y96">B18+B27+B42+B64+B77</f>
        <v>1852.8000000000002</v>
      </c>
      <c r="C96" s="23">
        <f t="shared" si="21"/>
        <v>1076.7</v>
      </c>
      <c r="D96" s="23">
        <f t="shared" si="21"/>
        <v>0</v>
      </c>
      <c r="E96" s="23">
        <f t="shared" si="21"/>
        <v>224.3</v>
      </c>
      <c r="F96" s="23">
        <f t="shared" si="21"/>
        <v>0</v>
      </c>
      <c r="G96" s="23">
        <f t="shared" si="21"/>
        <v>1.2</v>
      </c>
      <c r="H96" s="23">
        <f t="shared" si="21"/>
        <v>0</v>
      </c>
      <c r="I96" s="23">
        <f t="shared" si="21"/>
        <v>312.9</v>
      </c>
      <c r="J96" s="23">
        <f t="shared" si="21"/>
        <v>1.2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316.9</v>
      </c>
      <c r="P96" s="23">
        <f t="shared" si="21"/>
        <v>3.5</v>
      </c>
      <c r="Q96" s="23">
        <f t="shared" si="21"/>
        <v>0</v>
      </c>
      <c r="R96" s="23">
        <f t="shared" si="21"/>
        <v>3.6</v>
      </c>
      <c r="S96" s="23">
        <f t="shared" si="21"/>
        <v>0</v>
      </c>
      <c r="T96" s="23">
        <f t="shared" si="21"/>
        <v>128.9</v>
      </c>
      <c r="U96" s="23">
        <f t="shared" si="21"/>
        <v>0</v>
      </c>
      <c r="V96" s="23">
        <f t="shared" si="21"/>
        <v>182.8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1175.3</v>
      </c>
      <c r="AE96" s="28">
        <f>B96+C96-AD96</f>
        <v>1754.2</v>
      </c>
    </row>
    <row r="97" spans="1:31" ht="15.75">
      <c r="A97" s="3" t="s">
        <v>1</v>
      </c>
      <c r="B97" s="23">
        <f aca="true" t="shared" si="22" ref="B97:Y97">B19+B28+B65+B35+B43+B56+B48+B78</f>
        <v>652.0999999999999</v>
      </c>
      <c r="C97" s="23">
        <f t="shared" si="22"/>
        <v>1658.1999999999998</v>
      </c>
      <c r="D97" s="23">
        <f t="shared" si="22"/>
        <v>0</v>
      </c>
      <c r="E97" s="23">
        <f t="shared" si="22"/>
        <v>22.2</v>
      </c>
      <c r="F97" s="23">
        <f t="shared" si="22"/>
        <v>282</v>
      </c>
      <c r="G97" s="23">
        <f t="shared" si="22"/>
        <v>126.7</v>
      </c>
      <c r="H97" s="23">
        <f t="shared" si="22"/>
        <v>0</v>
      </c>
      <c r="I97" s="23">
        <f t="shared" si="22"/>
        <v>68.4</v>
      </c>
      <c r="J97" s="23">
        <f t="shared" si="22"/>
        <v>281.2</v>
      </c>
      <c r="K97" s="23">
        <f t="shared" si="22"/>
        <v>0</v>
      </c>
      <c r="L97" s="23">
        <f t="shared" si="22"/>
        <v>116.2</v>
      </c>
      <c r="M97" s="23">
        <f t="shared" si="22"/>
        <v>159.5</v>
      </c>
      <c r="N97" s="23">
        <f t="shared" si="22"/>
        <v>0</v>
      </c>
      <c r="O97" s="23">
        <f t="shared" si="22"/>
        <v>309.2</v>
      </c>
      <c r="P97" s="23">
        <f t="shared" si="22"/>
        <v>0</v>
      </c>
      <c r="Q97" s="23">
        <f t="shared" si="22"/>
        <v>20.7</v>
      </c>
      <c r="R97" s="23">
        <f t="shared" si="22"/>
        <v>0</v>
      </c>
      <c r="S97" s="23">
        <f t="shared" si="22"/>
        <v>8.4</v>
      </c>
      <c r="T97" s="23">
        <f t="shared" si="22"/>
        <v>115.6</v>
      </c>
      <c r="U97" s="23">
        <f t="shared" si="22"/>
        <v>99.9</v>
      </c>
      <c r="V97" s="23">
        <f t="shared" si="22"/>
        <v>117.2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1727.2000000000003</v>
      </c>
      <c r="AE97" s="28">
        <f>B97+C97-AD97</f>
        <v>583.0999999999995</v>
      </c>
    </row>
    <row r="98" spans="1:31" ht="15.75">
      <c r="A98" s="3" t="s">
        <v>17</v>
      </c>
      <c r="B98" s="23">
        <f aca="true" t="shared" si="23" ref="B98:AB98">B21+B30+B49+B37+B58+B13</f>
        <v>1347.6</v>
      </c>
      <c r="C98" s="23">
        <f t="shared" si="23"/>
        <v>2793.1</v>
      </c>
      <c r="D98" s="23">
        <f t="shared" si="23"/>
        <v>0</v>
      </c>
      <c r="E98" s="23">
        <f t="shared" si="23"/>
        <v>80.1</v>
      </c>
      <c r="F98" s="23">
        <f t="shared" si="23"/>
        <v>29.2</v>
      </c>
      <c r="G98" s="23">
        <f t="shared" si="23"/>
        <v>0</v>
      </c>
      <c r="H98" s="23">
        <f t="shared" si="23"/>
        <v>0</v>
      </c>
      <c r="I98" s="23">
        <f t="shared" si="23"/>
        <v>112.7</v>
      </c>
      <c r="J98" s="23">
        <f t="shared" si="23"/>
        <v>79.8</v>
      </c>
      <c r="K98" s="23">
        <f t="shared" si="23"/>
        <v>28.5</v>
      </c>
      <c r="L98" s="23">
        <f t="shared" si="23"/>
        <v>103.5</v>
      </c>
      <c r="M98" s="23">
        <f t="shared" si="23"/>
        <v>8.5</v>
      </c>
      <c r="N98" s="23">
        <f t="shared" si="23"/>
        <v>0</v>
      </c>
      <c r="O98" s="23">
        <f t="shared" si="23"/>
        <v>109.7</v>
      </c>
      <c r="P98" s="23">
        <f t="shared" si="23"/>
        <v>1.2</v>
      </c>
      <c r="Q98" s="23">
        <f t="shared" si="23"/>
        <v>45.3</v>
      </c>
      <c r="R98" s="23">
        <f t="shared" si="23"/>
        <v>0</v>
      </c>
      <c r="S98" s="23">
        <f t="shared" si="23"/>
        <v>26.4</v>
      </c>
      <c r="T98" s="23">
        <f t="shared" si="23"/>
        <v>0</v>
      </c>
      <c r="U98" s="23">
        <f t="shared" si="23"/>
        <v>148.5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773.4</v>
      </c>
      <c r="AE98" s="28">
        <f>B98+C98-AD98</f>
        <v>3367.2999999999997</v>
      </c>
    </row>
    <row r="99" spans="1:31" ht="12.75">
      <c r="A99" s="1" t="s">
        <v>47</v>
      </c>
      <c r="B99" s="2">
        <f aca="true" t="shared" si="24" ref="B99:AB99">B93-B94-B95-B96-B97-B98</f>
        <v>11439.700000000015</v>
      </c>
      <c r="C99" s="2">
        <f t="shared" si="24"/>
        <v>12590.099999999997</v>
      </c>
      <c r="D99" s="2">
        <f t="shared" si="24"/>
        <v>4800.6</v>
      </c>
      <c r="E99" s="2">
        <f t="shared" si="24"/>
        <v>635.4</v>
      </c>
      <c r="F99" s="2">
        <f t="shared" si="24"/>
        <v>250.09999999999997</v>
      </c>
      <c r="G99" s="2">
        <f t="shared" si="24"/>
        <v>65.69999999999901</v>
      </c>
      <c r="H99" s="2">
        <f t="shared" si="24"/>
        <v>581.1999999999999</v>
      </c>
      <c r="I99" s="2">
        <f t="shared" si="24"/>
        <v>186.50000000000006</v>
      </c>
      <c r="J99" s="2">
        <f t="shared" si="24"/>
        <v>492.0000000000004</v>
      </c>
      <c r="K99" s="2">
        <f t="shared" si="24"/>
        <v>1192.1999999999964</v>
      </c>
      <c r="L99" s="2">
        <f t="shared" si="24"/>
        <v>157.7000000000001</v>
      </c>
      <c r="M99" s="2">
        <f t="shared" si="24"/>
        <v>840.7999999999998</v>
      </c>
      <c r="N99" s="2">
        <f t="shared" si="24"/>
        <v>121.19999999999999</v>
      </c>
      <c r="O99" s="2">
        <f t="shared" si="24"/>
        <v>503.80000000000047</v>
      </c>
      <c r="P99" s="2">
        <f t="shared" si="24"/>
        <v>31.699999999999978</v>
      </c>
      <c r="Q99" s="2">
        <f t="shared" si="24"/>
        <v>176.10000000000002</v>
      </c>
      <c r="R99" s="2">
        <f t="shared" si="24"/>
        <v>630.9</v>
      </c>
      <c r="S99" s="2">
        <f t="shared" si="24"/>
        <v>191.59999999999994</v>
      </c>
      <c r="T99" s="2">
        <f t="shared" si="24"/>
        <v>353.6000000000006</v>
      </c>
      <c r="U99" s="2">
        <f t="shared" si="24"/>
        <v>895.3000000000029</v>
      </c>
      <c r="V99" s="2">
        <f t="shared" si="24"/>
        <v>678.2</v>
      </c>
      <c r="W99" s="2">
        <f t="shared" si="24"/>
        <v>1920.9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14705.500000000002</v>
      </c>
      <c r="AE99" s="2">
        <f>AE93-AE94-AE95-AE96-AE97-AE98</f>
        <v>9324.300000000014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7" sqref="C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68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35565.2</v>
      </c>
      <c r="C7" s="73">
        <v>115.2</v>
      </c>
      <c r="D7" s="46"/>
      <c r="E7" s="47">
        <v>17782.6</v>
      </c>
      <c r="F7" s="47"/>
      <c r="G7" s="47"/>
      <c r="H7" s="75"/>
      <c r="I7" s="47"/>
      <c r="J7" s="48"/>
      <c r="K7" s="47"/>
      <c r="L7" s="47"/>
      <c r="M7" s="47">
        <v>17782.6</v>
      </c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7713.2</v>
      </c>
      <c r="AD7" s="76"/>
      <c r="AE7" s="49"/>
    </row>
    <row r="8" spans="1:53" ht="18" customHeight="1">
      <c r="A8" s="61" t="s">
        <v>37</v>
      </c>
      <c r="B8" s="41">
        <f>SUM(D8:Z8)</f>
        <v>67999.29999999999</v>
      </c>
      <c r="C8" s="41">
        <v>60146.2</v>
      </c>
      <c r="D8" s="44">
        <v>6160.8</v>
      </c>
      <c r="E8" s="56">
        <v>1060.1</v>
      </c>
      <c r="F8" s="56">
        <v>1719.1</v>
      </c>
      <c r="G8" s="56">
        <v>2605.7</v>
      </c>
      <c r="H8" s="56">
        <v>3438.3</v>
      </c>
      <c r="I8" s="56">
        <f>4775.9-0.8</f>
        <v>4775.099999999999</v>
      </c>
      <c r="J8" s="57">
        <v>1620.6</v>
      </c>
      <c r="K8" s="56">
        <v>1697.6</v>
      </c>
      <c r="L8" s="56">
        <v>1399.2</v>
      </c>
      <c r="M8" s="56">
        <v>1254</v>
      </c>
      <c r="N8" s="56">
        <v>2493.2</v>
      </c>
      <c r="O8" s="56">
        <v>3703.1</v>
      </c>
      <c r="P8" s="56">
        <f>2133.9-30.3</f>
        <v>2103.6</v>
      </c>
      <c r="Q8" s="56">
        <v>1994.9</v>
      </c>
      <c r="R8" s="56">
        <v>2599.9</v>
      </c>
      <c r="S8" s="58">
        <v>3148.7</v>
      </c>
      <c r="T8" s="58">
        <v>2987</v>
      </c>
      <c r="U8" s="56">
        <v>1839.2</v>
      </c>
      <c r="V8" s="57">
        <v>1685.7</v>
      </c>
      <c r="W8" s="57">
        <v>1916.6</v>
      </c>
      <c r="X8" s="57">
        <v>5734.7</v>
      </c>
      <c r="Y8" s="57">
        <v>4823.1</v>
      </c>
      <c r="Z8" s="56">
        <f>7239.9-0.8</f>
        <v>7239.099999999999</v>
      </c>
      <c r="AA8" s="24"/>
      <c r="AB8" s="24"/>
      <c r="AC8" s="77">
        <v>83358.3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80842.5</v>
      </c>
      <c r="C9" s="25">
        <f t="shared" si="0"/>
        <v>19640.7</v>
      </c>
      <c r="D9" s="25">
        <f t="shared" si="0"/>
        <v>732.2</v>
      </c>
      <c r="E9" s="25">
        <f t="shared" si="0"/>
        <v>10357</v>
      </c>
      <c r="F9" s="25">
        <f t="shared" si="0"/>
        <v>3817.5</v>
      </c>
      <c r="G9" s="25">
        <f t="shared" si="0"/>
        <v>973.4000000000001</v>
      </c>
      <c r="H9" s="25">
        <f t="shared" si="0"/>
        <v>330.7</v>
      </c>
      <c r="I9" s="25">
        <f t="shared" si="0"/>
        <v>217.1</v>
      </c>
      <c r="J9" s="25">
        <f t="shared" si="0"/>
        <v>406.5</v>
      </c>
      <c r="K9" s="25">
        <f t="shared" si="0"/>
        <v>6510.7</v>
      </c>
      <c r="L9" s="25">
        <f t="shared" si="0"/>
        <v>6970.5</v>
      </c>
      <c r="M9" s="25">
        <f t="shared" si="0"/>
        <v>1031.8999999999999</v>
      </c>
      <c r="N9" s="25">
        <f t="shared" si="0"/>
        <v>176.2</v>
      </c>
      <c r="O9" s="25">
        <f t="shared" si="0"/>
        <v>493.69999999999993</v>
      </c>
      <c r="P9" s="25">
        <f t="shared" si="0"/>
        <v>203.1</v>
      </c>
      <c r="Q9" s="25">
        <f t="shared" si="0"/>
        <v>1061.4</v>
      </c>
      <c r="R9" s="25">
        <f t="shared" si="0"/>
        <v>0</v>
      </c>
      <c r="S9" s="25">
        <f t="shared" si="0"/>
        <v>1989.2000000000003</v>
      </c>
      <c r="T9" s="25">
        <f t="shared" si="0"/>
        <v>300.99999999999994</v>
      </c>
      <c r="U9" s="25">
        <f t="shared" si="0"/>
        <v>5596.299999999999</v>
      </c>
      <c r="V9" s="25">
        <f t="shared" si="0"/>
        <v>2192</v>
      </c>
      <c r="W9" s="25">
        <f t="shared" si="0"/>
        <v>8948.5</v>
      </c>
      <c r="X9" s="25">
        <f t="shared" si="0"/>
        <v>667.1999999999999</v>
      </c>
      <c r="Y9" s="25">
        <f t="shared" si="0"/>
        <v>984.6999999999999</v>
      </c>
      <c r="Z9" s="25">
        <f t="shared" si="0"/>
        <v>18793.6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72754.40000000001</v>
      </c>
      <c r="AE9" s="51">
        <f>AE10+AE15+AE24+AE33+AE47+AE52+AE54+AE61+AE62+AE71+AE72+AE75+AE87+AE80+AE82+AE81+AE69+AE88+AE90+AE89+AE70+AE40+AE91</f>
        <v>27728.800000000003</v>
      </c>
      <c r="AF9" s="50"/>
      <c r="AG9" s="50"/>
    </row>
    <row r="10" spans="1:31" ht="15.75">
      <c r="A10" s="4" t="s">
        <v>4</v>
      </c>
      <c r="B10" s="23">
        <v>4030.7</v>
      </c>
      <c r="C10" s="23">
        <v>1831.6</v>
      </c>
      <c r="D10" s="23">
        <v>18.3</v>
      </c>
      <c r="E10" s="23">
        <v>264.8</v>
      </c>
      <c r="F10" s="23">
        <v>18.3</v>
      </c>
      <c r="G10" s="23">
        <v>95.4</v>
      </c>
      <c r="H10" s="23">
        <v>35</v>
      </c>
      <c r="I10" s="23">
        <v>79.5</v>
      </c>
      <c r="J10" s="26">
        <v>16.1</v>
      </c>
      <c r="K10" s="23">
        <v>218.6</v>
      </c>
      <c r="L10" s="23">
        <v>977.7</v>
      </c>
      <c r="M10" s="23">
        <v>186.6</v>
      </c>
      <c r="N10" s="23">
        <v>34.9</v>
      </c>
      <c r="O10" s="28">
        <v>31.2</v>
      </c>
      <c r="P10" s="23">
        <v>22.2</v>
      </c>
      <c r="Q10" s="23">
        <v>25.9</v>
      </c>
      <c r="R10" s="23"/>
      <c r="S10" s="27">
        <v>58.1</v>
      </c>
      <c r="T10" s="27">
        <v>9</v>
      </c>
      <c r="U10" s="27">
        <v>8.4</v>
      </c>
      <c r="V10" s="23">
        <v>986.9</v>
      </c>
      <c r="W10" s="28">
        <v>517</v>
      </c>
      <c r="X10" s="27">
        <v>364.4</v>
      </c>
      <c r="Y10" s="27">
        <v>2.9</v>
      </c>
      <c r="Z10" s="23">
        <v>0.1</v>
      </c>
      <c r="AA10" s="23"/>
      <c r="AB10" s="23"/>
      <c r="AC10" s="23"/>
      <c r="AD10" s="23">
        <f aca="true" t="shared" si="1" ref="AD10:AD41">SUM(D10:AB10)</f>
        <v>3971.3000000000006</v>
      </c>
      <c r="AE10" s="28">
        <f>B10+C10-AD10</f>
        <v>1890.9999999999986</v>
      </c>
    </row>
    <row r="11" spans="1:31" ht="15.75">
      <c r="A11" s="3" t="s">
        <v>5</v>
      </c>
      <c r="B11" s="23">
        <f>3408+38.7+8</f>
        <v>3454.7</v>
      </c>
      <c r="C11" s="23">
        <v>419.3</v>
      </c>
      <c r="D11" s="23">
        <v>12.2</v>
      </c>
      <c r="E11" s="23">
        <v>242.6</v>
      </c>
      <c r="F11" s="23">
        <v>18.3</v>
      </c>
      <c r="G11" s="23"/>
      <c r="H11" s="23">
        <v>3.7</v>
      </c>
      <c r="I11" s="23">
        <v>36.4</v>
      </c>
      <c r="J11" s="27"/>
      <c r="K11" s="23">
        <v>185.9</v>
      </c>
      <c r="L11" s="23">
        <v>977.6</v>
      </c>
      <c r="M11" s="23">
        <v>184.1</v>
      </c>
      <c r="N11" s="23"/>
      <c r="O11" s="28">
        <v>12.7</v>
      </c>
      <c r="P11" s="23">
        <v>18.8</v>
      </c>
      <c r="Q11" s="23">
        <v>25.9</v>
      </c>
      <c r="R11" s="23"/>
      <c r="S11" s="27">
        <v>33.9</v>
      </c>
      <c r="T11" s="27"/>
      <c r="U11" s="27"/>
      <c r="V11" s="23">
        <v>945.4</v>
      </c>
      <c r="W11" s="27">
        <v>490.4</v>
      </c>
      <c r="X11" s="27">
        <v>353.4</v>
      </c>
      <c r="Y11" s="27"/>
      <c r="Z11" s="23"/>
      <c r="AA11" s="23"/>
      <c r="AB11" s="23"/>
      <c r="AC11" s="23"/>
      <c r="AD11" s="23">
        <f t="shared" si="1"/>
        <v>3541.3</v>
      </c>
      <c r="AE11" s="28">
        <f>B11+C11-AD11</f>
        <v>332.6999999999998</v>
      </c>
    </row>
    <row r="12" spans="1:31" ht="15.75">
      <c r="A12" s="3" t="s">
        <v>2</v>
      </c>
      <c r="B12" s="37">
        <f>64-2</f>
        <v>62</v>
      </c>
      <c r="C12" s="23">
        <v>361.9</v>
      </c>
      <c r="D12" s="23"/>
      <c r="E12" s="23">
        <v>6.4</v>
      </c>
      <c r="F12" s="23"/>
      <c r="G12" s="23">
        <v>6.5</v>
      </c>
      <c r="H12" s="23">
        <v>8.4</v>
      </c>
      <c r="I12" s="23">
        <v>8</v>
      </c>
      <c r="J12" s="27"/>
      <c r="K12" s="23"/>
      <c r="L12" s="23"/>
      <c r="M12" s="23"/>
      <c r="N12" s="23"/>
      <c r="O12" s="28">
        <v>5.1</v>
      </c>
      <c r="P12" s="23">
        <v>0.6</v>
      </c>
      <c r="Q12" s="23"/>
      <c r="R12" s="23"/>
      <c r="S12" s="27"/>
      <c r="T12" s="27"/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35.6</v>
      </c>
      <c r="AE12" s="28">
        <f>B12+C12-AD12</f>
        <v>388.29999999999995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514</v>
      </c>
      <c r="C14" s="23">
        <f t="shared" si="2"/>
        <v>1050.4</v>
      </c>
      <c r="D14" s="23">
        <f t="shared" si="2"/>
        <v>6.100000000000001</v>
      </c>
      <c r="E14" s="23">
        <f t="shared" si="2"/>
        <v>15.800000000000017</v>
      </c>
      <c r="F14" s="23">
        <f t="shared" si="2"/>
        <v>0</v>
      </c>
      <c r="G14" s="23">
        <f t="shared" si="2"/>
        <v>88.9</v>
      </c>
      <c r="H14" s="23">
        <f t="shared" si="2"/>
        <v>22.9</v>
      </c>
      <c r="I14" s="23">
        <f t="shared" si="2"/>
        <v>35.1</v>
      </c>
      <c r="J14" s="23">
        <f t="shared" si="2"/>
        <v>16.1</v>
      </c>
      <c r="K14" s="23">
        <f t="shared" si="2"/>
        <v>32.69999999999999</v>
      </c>
      <c r="L14" s="23">
        <f t="shared" si="2"/>
        <v>0.10000000000002274</v>
      </c>
      <c r="M14" s="23">
        <f t="shared" si="2"/>
        <v>2.5</v>
      </c>
      <c r="N14" s="23">
        <f t="shared" si="2"/>
        <v>34.9</v>
      </c>
      <c r="O14" s="23">
        <f t="shared" si="2"/>
        <v>13.4</v>
      </c>
      <c r="P14" s="23">
        <f t="shared" si="2"/>
        <v>2.7999999999999985</v>
      </c>
      <c r="Q14" s="23">
        <f t="shared" si="2"/>
        <v>0</v>
      </c>
      <c r="R14" s="23">
        <f t="shared" si="2"/>
        <v>0</v>
      </c>
      <c r="S14" s="23">
        <f t="shared" si="2"/>
        <v>24.200000000000003</v>
      </c>
      <c r="T14" s="23">
        <f t="shared" si="2"/>
        <v>9</v>
      </c>
      <c r="U14" s="23">
        <f t="shared" si="2"/>
        <v>8.4</v>
      </c>
      <c r="V14" s="23">
        <f t="shared" si="2"/>
        <v>40.9</v>
      </c>
      <c r="W14" s="23">
        <f t="shared" si="2"/>
        <v>26.600000000000023</v>
      </c>
      <c r="X14" s="23">
        <f t="shared" si="2"/>
        <v>11</v>
      </c>
      <c r="Y14" s="23">
        <f t="shared" si="2"/>
        <v>2.9</v>
      </c>
      <c r="Z14" s="23">
        <f t="shared" si="2"/>
        <v>0.1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394.4</v>
      </c>
      <c r="AE14" s="28">
        <f>AE10-AE11-AE12-AE13</f>
        <v>1169.9999999999989</v>
      </c>
    </row>
    <row r="15" spans="1:31" ht="15" customHeight="1">
      <c r="A15" s="4" t="s">
        <v>6</v>
      </c>
      <c r="B15" s="23">
        <v>25928.9</v>
      </c>
      <c r="C15" s="23">
        <v>3628.3</v>
      </c>
      <c r="D15" s="45">
        <v>674.2</v>
      </c>
      <c r="E15" s="45">
        <v>5158.9</v>
      </c>
      <c r="F15" s="23">
        <v>1833.1</v>
      </c>
      <c r="G15" s="23"/>
      <c r="H15" s="23"/>
      <c r="I15" s="23"/>
      <c r="J15" s="27"/>
      <c r="K15" s="23">
        <f>1244+3060.4</f>
        <v>4304.4</v>
      </c>
      <c r="L15" s="23"/>
      <c r="M15" s="23">
        <v>712.1</v>
      </c>
      <c r="N15" s="23"/>
      <c r="O15" s="28">
        <v>23.4</v>
      </c>
      <c r="P15" s="23"/>
      <c r="Q15" s="28">
        <v>96.8</v>
      </c>
      <c r="R15" s="23"/>
      <c r="S15" s="27">
        <v>246.1</v>
      </c>
      <c r="T15" s="27"/>
      <c r="U15" s="27">
        <v>4835.3</v>
      </c>
      <c r="V15" s="23">
        <v>320.3</v>
      </c>
      <c r="W15" s="27"/>
      <c r="X15" s="27">
        <v>22.4</v>
      </c>
      <c r="Y15" s="27">
        <v>21.8</v>
      </c>
      <c r="Z15" s="23">
        <v>-0.8</v>
      </c>
      <c r="AA15" s="23"/>
      <c r="AB15" s="23"/>
      <c r="AC15" s="23"/>
      <c r="AD15" s="28">
        <f t="shared" si="1"/>
        <v>18248</v>
      </c>
      <c r="AE15" s="28">
        <f aca="true" t="shared" si="3" ref="AE15:AE31">B15+C15-AD15</f>
        <v>11309.2</v>
      </c>
    </row>
    <row r="16" spans="1:31" s="71" customFormat="1" ht="15" customHeight="1">
      <c r="A16" s="66" t="s">
        <v>55</v>
      </c>
      <c r="B16" s="67">
        <v>17036.2</v>
      </c>
      <c r="C16" s="67">
        <v>106.2</v>
      </c>
      <c r="D16" s="68"/>
      <c r="E16" s="68">
        <v>5157.8</v>
      </c>
      <c r="F16" s="67">
        <v>1660.3</v>
      </c>
      <c r="G16" s="67"/>
      <c r="H16" s="67"/>
      <c r="I16" s="67"/>
      <c r="J16" s="69"/>
      <c r="K16" s="67">
        <v>1244</v>
      </c>
      <c r="L16" s="67"/>
      <c r="M16" s="67">
        <v>391.9</v>
      </c>
      <c r="N16" s="67"/>
      <c r="O16" s="70"/>
      <c r="P16" s="67"/>
      <c r="Q16" s="70">
        <v>96.8</v>
      </c>
      <c r="R16" s="67"/>
      <c r="S16" s="69"/>
      <c r="T16" s="69"/>
      <c r="U16" s="69">
        <v>1813.6</v>
      </c>
      <c r="V16" s="67">
        <v>81.1</v>
      </c>
      <c r="W16" s="69"/>
      <c r="X16" s="69">
        <v>19.6</v>
      </c>
      <c r="Y16" s="69">
        <v>9.2</v>
      </c>
      <c r="Z16" s="67"/>
      <c r="AA16" s="67"/>
      <c r="AB16" s="67"/>
      <c r="AC16" s="67"/>
      <c r="AD16" s="72">
        <f t="shared" si="1"/>
        <v>10474.300000000001</v>
      </c>
      <c r="AE16" s="72">
        <f t="shared" si="3"/>
        <v>6668.1</v>
      </c>
    </row>
    <row r="17" spans="1:32" ht="15.75">
      <c r="A17" s="3" t="s">
        <v>5</v>
      </c>
      <c r="B17" s="23">
        <f>16558.2+43.7</f>
        <v>16601.9</v>
      </c>
      <c r="C17" s="23">
        <v>147.3</v>
      </c>
      <c r="D17" s="23">
        <v>673.9</v>
      </c>
      <c r="E17" s="23">
        <v>5157.8</v>
      </c>
      <c r="F17" s="23"/>
      <c r="G17" s="23"/>
      <c r="H17" s="23"/>
      <c r="I17" s="23"/>
      <c r="J17" s="27"/>
      <c r="K17" s="23">
        <f>1244+3060.4</f>
        <v>4304.4</v>
      </c>
      <c r="L17" s="23"/>
      <c r="M17" s="23"/>
      <c r="N17" s="23"/>
      <c r="O17" s="28">
        <v>23.4</v>
      </c>
      <c r="P17" s="23"/>
      <c r="Q17" s="28"/>
      <c r="R17" s="23"/>
      <c r="S17" s="27">
        <v>20.2</v>
      </c>
      <c r="T17" s="27"/>
      <c r="U17" s="27">
        <v>4835.3</v>
      </c>
      <c r="V17" s="23"/>
      <c r="W17" s="27"/>
      <c r="X17" s="27"/>
      <c r="Y17" s="27">
        <v>5.5</v>
      </c>
      <c r="Z17" s="23"/>
      <c r="AA17" s="23"/>
      <c r="AB17" s="23"/>
      <c r="AC17" s="23"/>
      <c r="AD17" s="28">
        <f t="shared" si="1"/>
        <v>15020.5</v>
      </c>
      <c r="AE17" s="28">
        <f t="shared" si="3"/>
        <v>1728.7000000000007</v>
      </c>
      <c r="AF17" s="6"/>
    </row>
    <row r="18" spans="1:31" ht="15.75">
      <c r="A18" s="3" t="s">
        <v>3</v>
      </c>
      <c r="B18" s="23">
        <v>16</v>
      </c>
      <c r="C18" s="23">
        <v>4.9</v>
      </c>
      <c r="D18" s="23"/>
      <c r="E18" s="23"/>
      <c r="F18" s="23">
        <v>3.5</v>
      </c>
      <c r="G18" s="23"/>
      <c r="H18" s="23"/>
      <c r="I18" s="23"/>
      <c r="J18" s="27"/>
      <c r="K18" s="23"/>
      <c r="L18" s="23"/>
      <c r="M18" s="23">
        <v>1.2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4.7</v>
      </c>
      <c r="AE18" s="28">
        <f t="shared" si="3"/>
        <v>16.2</v>
      </c>
    </row>
    <row r="19" spans="1:31" ht="15.75">
      <c r="A19" s="3" t="s">
        <v>1</v>
      </c>
      <c r="B19" s="23">
        <v>2817.4</v>
      </c>
      <c r="C19" s="23">
        <v>534.4</v>
      </c>
      <c r="D19" s="23"/>
      <c r="E19" s="23"/>
      <c r="F19" s="23">
        <v>977.3</v>
      </c>
      <c r="G19" s="23"/>
      <c r="H19" s="23"/>
      <c r="I19" s="23"/>
      <c r="J19" s="27"/>
      <c r="K19" s="23"/>
      <c r="L19" s="23"/>
      <c r="M19" s="23">
        <v>385.3</v>
      </c>
      <c r="N19" s="23"/>
      <c r="O19" s="28"/>
      <c r="P19" s="23"/>
      <c r="Q19" s="28">
        <v>7.4</v>
      </c>
      <c r="R19" s="23"/>
      <c r="S19" s="27">
        <v>27.8</v>
      </c>
      <c r="T19" s="27"/>
      <c r="U19" s="27"/>
      <c r="V19" s="23">
        <v>4</v>
      </c>
      <c r="W19" s="27"/>
      <c r="X19" s="27">
        <v>9.2</v>
      </c>
      <c r="Y19" s="27">
        <v>6.9</v>
      </c>
      <c r="Z19" s="23">
        <v>-0.8</v>
      </c>
      <c r="AA19" s="23"/>
      <c r="AB19" s="23"/>
      <c r="AC19" s="23"/>
      <c r="AD19" s="28">
        <f t="shared" si="1"/>
        <v>1417.1000000000001</v>
      </c>
      <c r="AE19" s="28">
        <f t="shared" si="3"/>
        <v>1934.7</v>
      </c>
    </row>
    <row r="20" spans="1:31" ht="15.75">
      <c r="A20" s="3" t="s">
        <v>2</v>
      </c>
      <c r="B20" s="23">
        <f>5744.9-43.7</f>
        <v>5701.2</v>
      </c>
      <c r="C20" s="23">
        <v>2388.4</v>
      </c>
      <c r="D20" s="23">
        <v>0.3</v>
      </c>
      <c r="E20" s="23"/>
      <c r="F20" s="23">
        <v>821.8</v>
      </c>
      <c r="G20" s="23"/>
      <c r="H20" s="23"/>
      <c r="I20" s="23"/>
      <c r="J20" s="27"/>
      <c r="K20" s="23"/>
      <c r="L20" s="23"/>
      <c r="M20" s="23">
        <v>218.1</v>
      </c>
      <c r="N20" s="23"/>
      <c r="O20" s="28"/>
      <c r="P20" s="23"/>
      <c r="Q20" s="28">
        <v>23</v>
      </c>
      <c r="R20" s="23"/>
      <c r="S20" s="27">
        <v>127.5</v>
      </c>
      <c r="T20" s="27"/>
      <c r="U20" s="27"/>
      <c r="V20" s="23">
        <v>254</v>
      </c>
      <c r="W20" s="27"/>
      <c r="X20" s="27">
        <v>7.2</v>
      </c>
      <c r="Y20" s="27">
        <v>5.8</v>
      </c>
      <c r="Z20" s="23"/>
      <c r="AA20" s="23"/>
      <c r="AB20" s="23"/>
      <c r="AC20" s="23"/>
      <c r="AD20" s="28">
        <f t="shared" si="1"/>
        <v>1457.6999999999998</v>
      </c>
      <c r="AE20" s="28">
        <f t="shared" si="3"/>
        <v>6631.900000000001</v>
      </c>
    </row>
    <row r="21" spans="1:31" ht="15.75">
      <c r="A21" s="3" t="s">
        <v>17</v>
      </c>
      <c r="B21" s="23">
        <v>33.5</v>
      </c>
      <c r="C21" s="23">
        <v>38.6</v>
      </c>
      <c r="D21" s="23"/>
      <c r="E21" s="23"/>
      <c r="F21" s="23"/>
      <c r="G21" s="23"/>
      <c r="H21" s="23"/>
      <c r="I21" s="23"/>
      <c r="J21" s="27"/>
      <c r="K21" s="23"/>
      <c r="L21" s="23"/>
      <c r="M21" s="23">
        <v>9.9</v>
      </c>
      <c r="N21" s="23"/>
      <c r="O21" s="28"/>
      <c r="P21" s="23"/>
      <c r="Q21" s="28"/>
      <c r="R21" s="23"/>
      <c r="S21" s="27"/>
      <c r="T21" s="27"/>
      <c r="U21" s="23"/>
      <c r="V21" s="27">
        <v>1.2</v>
      </c>
      <c r="W21" s="27"/>
      <c r="X21" s="27"/>
      <c r="Y21" s="27"/>
      <c r="Z21" s="23"/>
      <c r="AA21" s="23"/>
      <c r="AB21" s="23"/>
      <c r="AC21" s="23"/>
      <c r="AD21" s="28">
        <f t="shared" si="1"/>
        <v>11.1</v>
      </c>
      <c r="AE21" s="28">
        <f t="shared" si="3"/>
        <v>60.99999999999999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758.9000000000005</v>
      </c>
      <c r="C23" s="23">
        <f t="shared" si="4"/>
        <v>514.6999999999997</v>
      </c>
      <c r="D23" s="23">
        <f t="shared" si="4"/>
        <v>6.822320486321587E-14</v>
      </c>
      <c r="E23" s="23">
        <f t="shared" si="4"/>
        <v>1.0999999999994543</v>
      </c>
      <c r="F23" s="23">
        <f t="shared" si="4"/>
        <v>30.5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97.59999999999997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66.39999999999999</v>
      </c>
      <c r="R23" s="23">
        <f t="shared" si="4"/>
        <v>0</v>
      </c>
      <c r="S23" s="23">
        <f t="shared" si="4"/>
        <v>70.6</v>
      </c>
      <c r="T23" s="23">
        <f t="shared" si="4"/>
        <v>0</v>
      </c>
      <c r="U23" s="23">
        <f t="shared" si="4"/>
        <v>0</v>
      </c>
      <c r="V23" s="23">
        <f t="shared" si="4"/>
        <v>61.10000000000001</v>
      </c>
      <c r="W23" s="23">
        <f t="shared" si="4"/>
        <v>0</v>
      </c>
      <c r="X23" s="23">
        <f t="shared" si="4"/>
        <v>5.999999999999999</v>
      </c>
      <c r="Y23" s="23">
        <f t="shared" si="4"/>
        <v>3.6000000000000005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336.8999999999995</v>
      </c>
      <c r="AE23" s="28">
        <f t="shared" si="3"/>
        <v>936.7000000000008</v>
      </c>
    </row>
    <row r="24" spans="1:31" ht="15" customHeight="1">
      <c r="A24" s="4" t="s">
        <v>7</v>
      </c>
      <c r="B24" s="23">
        <v>19170.9</v>
      </c>
      <c r="C24" s="23">
        <v>2046.3</v>
      </c>
      <c r="D24" s="23"/>
      <c r="E24" s="23">
        <v>3282.7</v>
      </c>
      <c r="F24" s="23"/>
      <c r="G24" s="23">
        <v>134.9</v>
      </c>
      <c r="H24" s="23">
        <v>-0.6</v>
      </c>
      <c r="I24" s="23"/>
      <c r="J24" s="27">
        <v>0.7</v>
      </c>
      <c r="K24" s="23"/>
      <c r="L24" s="23">
        <v>5558.1</v>
      </c>
      <c r="M24" s="23"/>
      <c r="N24" s="23">
        <v>30.6</v>
      </c>
      <c r="O24" s="28"/>
      <c r="P24" s="23">
        <v>39.7</v>
      </c>
      <c r="Q24" s="28"/>
      <c r="R24" s="28"/>
      <c r="S24" s="27">
        <f>1331.9+107.2</f>
        <v>1439.1000000000001</v>
      </c>
      <c r="T24" s="27">
        <v>104.8</v>
      </c>
      <c r="U24" s="27">
        <v>53.4</v>
      </c>
      <c r="V24" s="23">
        <f>307+2.2</f>
        <v>309.2</v>
      </c>
      <c r="W24" s="27">
        <v>6685.7</v>
      </c>
      <c r="X24" s="27">
        <v>15.5</v>
      </c>
      <c r="Y24" s="27">
        <v>279.4</v>
      </c>
      <c r="Z24" s="23">
        <v>-0.7</v>
      </c>
      <c r="AA24" s="23"/>
      <c r="AB24" s="23"/>
      <c r="AC24" s="23"/>
      <c r="AD24" s="28">
        <f t="shared" si="1"/>
        <v>17932.5</v>
      </c>
      <c r="AE24" s="28">
        <f t="shared" si="3"/>
        <v>3284.7000000000007</v>
      </c>
    </row>
    <row r="25" spans="1:31" s="71" customFormat="1" ht="15" customHeight="1">
      <c r="A25" s="66" t="s">
        <v>56</v>
      </c>
      <c r="B25" s="67">
        <v>18529</v>
      </c>
      <c r="C25" s="67">
        <v>9</v>
      </c>
      <c r="D25" s="67"/>
      <c r="E25" s="67">
        <v>3282.7</v>
      </c>
      <c r="F25" s="67"/>
      <c r="G25" s="67">
        <v>134.9</v>
      </c>
      <c r="H25" s="67">
        <v>0.1</v>
      </c>
      <c r="I25" s="67"/>
      <c r="J25" s="69">
        <v>0.7</v>
      </c>
      <c r="K25" s="67"/>
      <c r="L25" s="67">
        <v>5558.1</v>
      </c>
      <c r="M25" s="67"/>
      <c r="N25" s="67"/>
      <c r="O25" s="70"/>
      <c r="P25" s="67"/>
      <c r="Q25" s="70"/>
      <c r="R25" s="70"/>
      <c r="S25" s="69">
        <v>1331.9</v>
      </c>
      <c r="T25" s="69">
        <v>104.8</v>
      </c>
      <c r="U25" s="69">
        <v>53.1</v>
      </c>
      <c r="V25" s="67">
        <v>307</v>
      </c>
      <c r="W25" s="69">
        <v>6685.7</v>
      </c>
      <c r="X25" s="69">
        <v>15.5</v>
      </c>
      <c r="Y25" s="69">
        <v>19.1</v>
      </c>
      <c r="Z25" s="67">
        <v>-0.7</v>
      </c>
      <c r="AA25" s="67"/>
      <c r="AB25" s="67"/>
      <c r="AC25" s="67"/>
      <c r="AD25" s="72">
        <f t="shared" si="1"/>
        <v>17492.899999999998</v>
      </c>
      <c r="AE25" s="72">
        <f t="shared" si="3"/>
        <v>1045.1000000000022</v>
      </c>
    </row>
    <row r="26" spans="1:32" ht="15.75">
      <c r="A26" s="3" t="s">
        <v>5</v>
      </c>
      <c r="B26" s="23">
        <v>15529.1</v>
      </c>
      <c r="C26" s="23">
        <v>18.1</v>
      </c>
      <c r="D26" s="23"/>
      <c r="E26" s="23">
        <v>3282.7</v>
      </c>
      <c r="F26" s="23"/>
      <c r="G26" s="23"/>
      <c r="H26" s="23"/>
      <c r="I26" s="23"/>
      <c r="J26" s="27"/>
      <c r="K26" s="23"/>
      <c r="L26" s="23">
        <v>5558.1</v>
      </c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>
        <v>6685.7</v>
      </c>
      <c r="X26" s="27"/>
      <c r="Y26" s="27"/>
      <c r="Z26" s="23"/>
      <c r="AA26" s="23"/>
      <c r="AB26" s="23"/>
      <c r="AC26" s="23"/>
      <c r="AD26" s="28">
        <f t="shared" si="1"/>
        <v>15526.5</v>
      </c>
      <c r="AE26" s="28">
        <f t="shared" si="3"/>
        <v>20.700000000000728</v>
      </c>
      <c r="AF26" s="6"/>
    </row>
    <row r="27" spans="1:31" ht="15.75">
      <c r="A27" s="3" t="s">
        <v>3</v>
      </c>
      <c r="B27" s="23">
        <f>1167.9+22+58.6</f>
        <v>1248.5</v>
      </c>
      <c r="C27" s="23">
        <v>1678.9</v>
      </c>
      <c r="D27" s="23"/>
      <c r="E27" s="23"/>
      <c r="F27" s="23"/>
      <c r="G27" s="23">
        <v>23.5</v>
      </c>
      <c r="H27" s="23"/>
      <c r="I27" s="23"/>
      <c r="J27" s="27"/>
      <c r="K27" s="23"/>
      <c r="L27" s="23"/>
      <c r="M27" s="23"/>
      <c r="N27" s="23"/>
      <c r="O27" s="28">
        <v>30.3</v>
      </c>
      <c r="P27" s="23"/>
      <c r="Q27" s="28"/>
      <c r="R27" s="23"/>
      <c r="S27" s="27">
        <f>575.3+83</f>
        <v>658.3</v>
      </c>
      <c r="T27" s="27">
        <v>3.6</v>
      </c>
      <c r="U27" s="27">
        <v>8.8</v>
      </c>
      <c r="V27" s="23">
        <v>69.3</v>
      </c>
      <c r="W27" s="27"/>
      <c r="X27" s="27">
        <v>15.5</v>
      </c>
      <c r="Y27" s="27">
        <v>197.3</v>
      </c>
      <c r="Z27" s="23"/>
      <c r="AA27" s="23"/>
      <c r="AB27" s="23"/>
      <c r="AC27" s="23"/>
      <c r="AD27" s="28">
        <f t="shared" si="1"/>
        <v>1006.5999999999999</v>
      </c>
      <c r="AE27" s="28">
        <f t="shared" si="3"/>
        <v>1920.8000000000002</v>
      </c>
    </row>
    <row r="28" spans="1:31" ht="15.75">
      <c r="A28" s="3" t="s">
        <v>1</v>
      </c>
      <c r="B28" s="23">
        <v>288.3</v>
      </c>
      <c r="C28" s="23">
        <v>0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>
        <v>30.3</v>
      </c>
      <c r="O28" s="28">
        <v>-30.3</v>
      </c>
      <c r="P28" s="23"/>
      <c r="Q28" s="28"/>
      <c r="R28" s="23"/>
      <c r="S28" s="27">
        <v>115.9</v>
      </c>
      <c r="T28" s="27">
        <v>98.3</v>
      </c>
      <c r="U28" s="27">
        <v>38</v>
      </c>
      <c r="V28" s="23">
        <v>4.5</v>
      </c>
      <c r="W28" s="27"/>
      <c r="X28" s="27"/>
      <c r="Y28" s="27">
        <v>18.6</v>
      </c>
      <c r="Z28" s="23"/>
      <c r="AA28" s="23"/>
      <c r="AB28" s="23"/>
      <c r="AC28" s="23"/>
      <c r="AD28" s="28">
        <f t="shared" si="1"/>
        <v>275.3</v>
      </c>
      <c r="AE28" s="28">
        <f t="shared" si="3"/>
        <v>13</v>
      </c>
    </row>
    <row r="29" spans="1:31" ht="15.75">
      <c r="A29" s="3" t="s">
        <v>2</v>
      </c>
      <c r="B29" s="23">
        <f>874.4-22-7.3</f>
        <v>845.1</v>
      </c>
      <c r="C29" s="23">
        <v>26.2</v>
      </c>
      <c r="D29" s="23"/>
      <c r="E29" s="23"/>
      <c r="F29" s="23"/>
      <c r="G29" s="23">
        <v>51.3</v>
      </c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>
        <f>365.7+24.2</f>
        <v>389.9</v>
      </c>
      <c r="T29" s="27"/>
      <c r="U29" s="27">
        <v>0.7</v>
      </c>
      <c r="V29" s="23">
        <v>203.6</v>
      </c>
      <c r="W29" s="27"/>
      <c r="X29" s="27"/>
      <c r="Y29" s="27"/>
      <c r="Z29" s="23"/>
      <c r="AA29" s="23"/>
      <c r="AB29" s="23"/>
      <c r="AC29" s="23"/>
      <c r="AD29" s="28">
        <f t="shared" si="1"/>
        <v>645.5</v>
      </c>
      <c r="AE29" s="28">
        <f t="shared" si="3"/>
        <v>225.80000000000007</v>
      </c>
    </row>
    <row r="30" spans="1:31" ht="15.75">
      <c r="A30" s="3" t="s">
        <v>17</v>
      </c>
      <c r="B30" s="23">
        <f>165.1-53.2</f>
        <v>111.89999999999999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>
        <v>106.7</v>
      </c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106.7</v>
      </c>
      <c r="AE30" s="28">
        <f t="shared" si="3"/>
        <v>5.199999999999989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1148.000000000001</v>
      </c>
      <c r="C32" s="23">
        <f t="shared" si="5"/>
        <v>323.09999999999997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60.10000000000001</v>
      </c>
      <c r="H32" s="23">
        <f t="shared" si="5"/>
        <v>-0.6</v>
      </c>
      <c r="I32" s="23">
        <f t="shared" si="5"/>
        <v>0</v>
      </c>
      <c r="J32" s="23">
        <f t="shared" si="5"/>
        <v>0.7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0.3000000000000007</v>
      </c>
      <c r="O32" s="23">
        <f t="shared" si="5"/>
        <v>0</v>
      </c>
      <c r="P32" s="23">
        <f t="shared" si="5"/>
        <v>39.7</v>
      </c>
      <c r="Q32" s="23">
        <f t="shared" si="5"/>
        <v>0</v>
      </c>
      <c r="R32" s="23">
        <f t="shared" si="5"/>
        <v>0</v>
      </c>
      <c r="S32" s="23">
        <f t="shared" si="5"/>
        <v>168.30000000000024</v>
      </c>
      <c r="T32" s="23">
        <f t="shared" si="5"/>
        <v>2.9000000000000057</v>
      </c>
      <c r="U32" s="23">
        <f t="shared" si="5"/>
        <v>5.899999999999994</v>
      </c>
      <c r="V32" s="23">
        <f t="shared" si="5"/>
        <v>31.799999999999983</v>
      </c>
      <c r="W32" s="23">
        <f t="shared" si="5"/>
        <v>0</v>
      </c>
      <c r="X32" s="23">
        <f t="shared" si="5"/>
        <v>0</v>
      </c>
      <c r="Y32" s="23">
        <f t="shared" si="5"/>
        <v>63.499999999999964</v>
      </c>
      <c r="Z32" s="23">
        <f t="shared" si="5"/>
        <v>-0.7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371.9000000000001</v>
      </c>
      <c r="AE32" s="28">
        <f>AE24-AE26-AE27-AE28-AE29-AE30-AE31</f>
        <v>1099.1999999999996</v>
      </c>
    </row>
    <row r="33" spans="1:31" ht="15" customHeight="1">
      <c r="A33" s="4" t="s">
        <v>8</v>
      </c>
      <c r="B33" s="23">
        <v>463.8</v>
      </c>
      <c r="C33" s="23">
        <v>2102.8</v>
      </c>
      <c r="D33" s="23"/>
      <c r="E33" s="23">
        <v>367.2</v>
      </c>
      <c r="F33" s="23"/>
      <c r="G33" s="23"/>
      <c r="H33" s="23"/>
      <c r="I33" s="23"/>
      <c r="J33" s="27"/>
      <c r="K33" s="23">
        <v>95.8</v>
      </c>
      <c r="L33" s="23"/>
      <c r="M33" s="23"/>
      <c r="N33" s="23">
        <v>11.5</v>
      </c>
      <c r="O33" s="28"/>
      <c r="P33" s="23"/>
      <c r="Q33" s="28">
        <v>311.3</v>
      </c>
      <c r="R33" s="23"/>
      <c r="S33" s="27">
        <v>2</v>
      </c>
      <c r="T33" s="27"/>
      <c r="U33" s="27">
        <v>93.8</v>
      </c>
      <c r="V33" s="27">
        <v>64.9</v>
      </c>
      <c r="W33" s="27"/>
      <c r="X33" s="27">
        <v>129.4</v>
      </c>
      <c r="Y33" s="27"/>
      <c r="Z33" s="23"/>
      <c r="AA33" s="23"/>
      <c r="AB33" s="23"/>
      <c r="AC33" s="23"/>
      <c r="AD33" s="28">
        <f t="shared" si="1"/>
        <v>1075.8999999999999</v>
      </c>
      <c r="AE33" s="28">
        <f aca="true" t="shared" si="6" ref="AE33:AE38">B33+C33-AD33</f>
        <v>1490.7000000000005</v>
      </c>
    </row>
    <row r="34" spans="1:31" ht="15.75">
      <c r="A34" s="3" t="s">
        <v>5</v>
      </c>
      <c r="B34" s="23">
        <f>126.5+1.7</f>
        <v>128.2</v>
      </c>
      <c r="C34" s="23">
        <v>11</v>
      </c>
      <c r="D34" s="23"/>
      <c r="E34" s="23"/>
      <c r="F34" s="23"/>
      <c r="G34" s="23"/>
      <c r="H34" s="23"/>
      <c r="I34" s="23"/>
      <c r="J34" s="27"/>
      <c r="K34" s="23">
        <v>53.8</v>
      </c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>
        <v>64.9</v>
      </c>
      <c r="W34" s="27"/>
      <c r="X34" s="27"/>
      <c r="Y34" s="27"/>
      <c r="Z34" s="23"/>
      <c r="AA34" s="23"/>
      <c r="AB34" s="23"/>
      <c r="AC34" s="23"/>
      <c r="AD34" s="28">
        <f t="shared" si="1"/>
        <v>118.7</v>
      </c>
      <c r="AE34" s="28">
        <f t="shared" si="6"/>
        <v>20.499999999999986</v>
      </c>
    </row>
    <row r="35" spans="1:31" ht="15.75">
      <c r="A35" s="3" t="s">
        <v>1</v>
      </c>
      <c r="B35" s="23">
        <v>101.1</v>
      </c>
      <c r="C35" s="23">
        <v>18</v>
      </c>
      <c r="D35" s="23"/>
      <c r="E35" s="23"/>
      <c r="F35" s="23"/>
      <c r="G35" s="23"/>
      <c r="H35" s="23"/>
      <c r="I35" s="23"/>
      <c r="J35" s="27"/>
      <c r="K35" s="23">
        <v>25</v>
      </c>
      <c r="L35" s="23"/>
      <c r="M35" s="23"/>
      <c r="N35" s="23"/>
      <c r="O35" s="23"/>
      <c r="P35" s="23"/>
      <c r="Q35" s="28">
        <v>0.2</v>
      </c>
      <c r="R35" s="23"/>
      <c r="S35" s="27"/>
      <c r="T35" s="27"/>
      <c r="U35" s="23">
        <v>76.4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101.60000000000001</v>
      </c>
      <c r="AE35" s="28">
        <f t="shared" si="6"/>
        <v>17.499999999999986</v>
      </c>
    </row>
    <row r="36" spans="1:31" ht="15.75">
      <c r="A36" s="3" t="s">
        <v>2</v>
      </c>
      <c r="B36" s="45">
        <f>4.2-1.8</f>
        <v>2.4000000000000004</v>
      </c>
      <c r="C36" s="23">
        <v>45.3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>
        <v>0.2</v>
      </c>
      <c r="R36" s="23"/>
      <c r="S36" s="27"/>
      <c r="T36" s="27"/>
      <c r="U36" s="23">
        <v>1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1.2</v>
      </c>
      <c r="AE36" s="28">
        <f t="shared" si="6"/>
        <v>46.49999999999999</v>
      </c>
    </row>
    <row r="37" spans="1:31" ht="15.75">
      <c r="A37" s="3" t="s">
        <v>17</v>
      </c>
      <c r="B37" s="23">
        <v>228.9</v>
      </c>
      <c r="C37" s="23">
        <v>1900</v>
      </c>
      <c r="D37" s="23"/>
      <c r="E37" s="23">
        <v>367.2</v>
      </c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>
        <v>308.5</v>
      </c>
      <c r="R37" s="23"/>
      <c r="S37" s="27"/>
      <c r="T37" s="27"/>
      <c r="U37" s="23"/>
      <c r="V37" s="27"/>
      <c r="W37" s="27"/>
      <c r="X37" s="27">
        <v>129.4</v>
      </c>
      <c r="Y37" s="27"/>
      <c r="Z37" s="23"/>
      <c r="AA37" s="23"/>
      <c r="AB37" s="23"/>
      <c r="AC37" s="23"/>
      <c r="AD37" s="28">
        <f t="shared" si="1"/>
        <v>805.1</v>
      </c>
      <c r="AE37" s="28">
        <f t="shared" si="6"/>
        <v>1323.8000000000002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3.2000000000000455</v>
      </c>
      <c r="C39" s="23">
        <f t="shared" si="7"/>
        <v>128.50000000000023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17</v>
      </c>
      <c r="L39" s="23">
        <f t="shared" si="7"/>
        <v>0</v>
      </c>
      <c r="M39" s="23">
        <f t="shared" si="7"/>
        <v>0</v>
      </c>
      <c r="N39" s="23">
        <f t="shared" si="7"/>
        <v>11.5</v>
      </c>
      <c r="O39" s="23">
        <f t="shared" si="7"/>
        <v>0</v>
      </c>
      <c r="P39" s="23">
        <f t="shared" si="7"/>
        <v>0</v>
      </c>
      <c r="Q39" s="23">
        <f t="shared" si="7"/>
        <v>2.4000000000000226</v>
      </c>
      <c r="R39" s="23">
        <f t="shared" si="7"/>
        <v>0</v>
      </c>
      <c r="S39" s="23">
        <f t="shared" si="7"/>
        <v>2</v>
      </c>
      <c r="T39" s="23">
        <f t="shared" si="7"/>
        <v>0</v>
      </c>
      <c r="U39" s="23">
        <f t="shared" si="7"/>
        <v>16.39999999999999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49.30000000000001</v>
      </c>
      <c r="AE39" s="28">
        <f>AE33-AE34-AE36-AE38-AE35-AE37</f>
        <v>82.40000000000032</v>
      </c>
    </row>
    <row r="40" spans="1:31" ht="15" customHeight="1">
      <c r="A40" s="4" t="s">
        <v>34</v>
      </c>
      <c r="B40" s="23">
        <v>566.4</v>
      </c>
      <c r="C40" s="23">
        <v>57.2</v>
      </c>
      <c r="D40" s="23"/>
      <c r="E40" s="23"/>
      <c r="F40" s="23"/>
      <c r="G40" s="23"/>
      <c r="H40" s="23"/>
      <c r="I40" s="23"/>
      <c r="J40" s="27">
        <v>124.9</v>
      </c>
      <c r="K40" s="23"/>
      <c r="L40" s="23">
        <v>209.3</v>
      </c>
      <c r="M40" s="23"/>
      <c r="N40" s="23"/>
      <c r="O40" s="28">
        <v>1.9</v>
      </c>
      <c r="P40" s="23"/>
      <c r="Q40" s="28"/>
      <c r="R40" s="28"/>
      <c r="S40" s="27">
        <v>2.9</v>
      </c>
      <c r="T40" s="27">
        <v>4.7</v>
      </c>
      <c r="U40" s="27"/>
      <c r="V40" s="23"/>
      <c r="W40" s="27">
        <v>268.2</v>
      </c>
      <c r="X40" s="27"/>
      <c r="Y40" s="27"/>
      <c r="Z40" s="23"/>
      <c r="AA40" s="23"/>
      <c r="AB40" s="23"/>
      <c r="AC40" s="23"/>
      <c r="AD40" s="28">
        <f t="shared" si="1"/>
        <v>611.9</v>
      </c>
      <c r="AE40" s="28">
        <f aca="true" t="shared" si="8" ref="AE40:AE45">B40+C40-AD40</f>
        <v>11.700000000000045</v>
      </c>
    </row>
    <row r="41" spans="1:32" ht="15.75">
      <c r="A41" s="3" t="s">
        <v>5</v>
      </c>
      <c r="B41" s="23">
        <f>518.1+31.6</f>
        <v>549.7</v>
      </c>
      <c r="C41" s="23">
        <v>9.4</v>
      </c>
      <c r="D41" s="23"/>
      <c r="E41" s="23"/>
      <c r="F41" s="23"/>
      <c r="G41" s="23"/>
      <c r="H41" s="23"/>
      <c r="I41" s="23"/>
      <c r="J41" s="27">
        <v>83.6</v>
      </c>
      <c r="K41" s="23"/>
      <c r="L41" s="23">
        <v>206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>
        <v>267.9</v>
      </c>
      <c r="X41" s="27"/>
      <c r="Y41" s="27"/>
      <c r="Z41" s="23"/>
      <c r="AA41" s="23"/>
      <c r="AB41" s="23"/>
      <c r="AC41" s="23"/>
      <c r="AD41" s="28">
        <f t="shared" si="1"/>
        <v>557.5</v>
      </c>
      <c r="AE41" s="28">
        <f t="shared" si="8"/>
        <v>1.6000000000000227</v>
      </c>
      <c r="AF41" s="6"/>
    </row>
    <row r="42" spans="1:31" ht="15.75">
      <c r="A42" s="3" t="s">
        <v>3</v>
      </c>
      <c r="B42" s="23">
        <v>0</v>
      </c>
      <c r="C42" s="23">
        <v>0.4</v>
      </c>
      <c r="D42" s="23"/>
      <c r="E42" s="23"/>
      <c r="F42" s="23"/>
      <c r="G42" s="23"/>
      <c r="H42" s="23"/>
      <c r="I42" s="23"/>
      <c r="J42" s="27"/>
      <c r="K42" s="23"/>
      <c r="L42" s="23">
        <v>0.4</v>
      </c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0.4</v>
      </c>
      <c r="AE42" s="28">
        <f t="shared" si="8"/>
        <v>0</v>
      </c>
    </row>
    <row r="43" spans="1:31" ht="15.75">
      <c r="A43" s="3" t="s">
        <v>1</v>
      </c>
      <c r="B43" s="23">
        <f>6.5-5.8</f>
        <v>0.7000000000000002</v>
      </c>
      <c r="C43" s="23">
        <v>4.9</v>
      </c>
      <c r="D43" s="23"/>
      <c r="E43" s="23"/>
      <c r="F43" s="23"/>
      <c r="G43" s="23"/>
      <c r="H43" s="23"/>
      <c r="I43" s="23"/>
      <c r="J43" s="27">
        <v>5.5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5.5</v>
      </c>
      <c r="AE43" s="28">
        <f t="shared" si="8"/>
        <v>0.10000000000000053</v>
      </c>
    </row>
    <row r="44" spans="1:31" ht="15.75">
      <c r="A44" s="3" t="s">
        <v>2</v>
      </c>
      <c r="B44" s="23">
        <f>4.8-3</f>
        <v>1.7999999999999998</v>
      </c>
      <c r="C44" s="23">
        <v>8.9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>
        <v>0.5</v>
      </c>
      <c r="P44" s="23"/>
      <c r="Q44" s="28"/>
      <c r="R44" s="23"/>
      <c r="S44" s="27">
        <v>1.4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3.5</v>
      </c>
      <c r="AE44" s="28">
        <f t="shared" si="8"/>
        <v>7.199999999999999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14.199999999999932</v>
      </c>
      <c r="C46" s="23">
        <f t="shared" si="10"/>
        <v>33.60000000000001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35.30000000000001</v>
      </c>
      <c r="K46" s="23">
        <f t="shared" si="10"/>
        <v>0</v>
      </c>
      <c r="L46" s="23">
        <f t="shared" si="10"/>
        <v>2.9000000000000115</v>
      </c>
      <c r="M46" s="23">
        <f t="shared" si="10"/>
        <v>0</v>
      </c>
      <c r="N46" s="23">
        <f t="shared" si="10"/>
        <v>0</v>
      </c>
      <c r="O46" s="23">
        <f t="shared" si="10"/>
        <v>1.4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1.5</v>
      </c>
      <c r="T46" s="23">
        <f t="shared" si="10"/>
        <v>3.6</v>
      </c>
      <c r="U46" s="23">
        <f t="shared" si="10"/>
        <v>0</v>
      </c>
      <c r="V46" s="23">
        <f t="shared" si="10"/>
        <v>0</v>
      </c>
      <c r="W46" s="23">
        <f t="shared" si="10"/>
        <v>0.30000000000001137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45.000000000000036</v>
      </c>
      <c r="AE46" s="28">
        <f>AE40-AE41-AE42-AE43-AE44-AE45</f>
        <v>2.800000000000022</v>
      </c>
    </row>
    <row r="47" spans="1:31" ht="17.25" customHeight="1">
      <c r="A47" s="4" t="s">
        <v>15</v>
      </c>
      <c r="B47" s="37">
        <f>960.9</f>
        <v>960.9</v>
      </c>
      <c r="C47" s="23">
        <v>1545.6</v>
      </c>
      <c r="D47" s="23"/>
      <c r="E47" s="29"/>
      <c r="F47" s="29"/>
      <c r="G47" s="29"/>
      <c r="H47" s="29">
        <v>40.1</v>
      </c>
      <c r="I47" s="29"/>
      <c r="J47" s="30">
        <v>119.9</v>
      </c>
      <c r="K47" s="29">
        <v>41.5</v>
      </c>
      <c r="L47" s="29"/>
      <c r="M47" s="29"/>
      <c r="N47" s="29">
        <v>76.2</v>
      </c>
      <c r="O47" s="32"/>
      <c r="P47" s="29"/>
      <c r="Q47" s="29"/>
      <c r="R47" s="29"/>
      <c r="S47" s="30">
        <v>82.4</v>
      </c>
      <c r="T47" s="30">
        <v>0.3</v>
      </c>
      <c r="U47" s="29">
        <v>42.7</v>
      </c>
      <c r="V47" s="29">
        <v>6.8</v>
      </c>
      <c r="W47" s="30">
        <v>250.5</v>
      </c>
      <c r="X47" s="30"/>
      <c r="Y47" s="30">
        <v>30.4</v>
      </c>
      <c r="Z47" s="29"/>
      <c r="AA47" s="29"/>
      <c r="AB47" s="29"/>
      <c r="AC47" s="29"/>
      <c r="AD47" s="28">
        <f t="shared" si="9"/>
        <v>690.8000000000001</v>
      </c>
      <c r="AE47" s="28">
        <f>B47+C47-AD47</f>
        <v>1815.6999999999998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868.9</v>
      </c>
      <c r="C49" s="23">
        <v>1408.7</v>
      </c>
      <c r="D49" s="23"/>
      <c r="E49" s="23"/>
      <c r="F49" s="23"/>
      <c r="G49" s="23"/>
      <c r="H49" s="23">
        <v>39.8</v>
      </c>
      <c r="I49" s="23"/>
      <c r="J49" s="27">
        <v>119.7</v>
      </c>
      <c r="K49" s="23">
        <v>41.2</v>
      </c>
      <c r="L49" s="23"/>
      <c r="M49" s="23"/>
      <c r="N49" s="23">
        <v>75.7</v>
      </c>
      <c r="O49" s="28"/>
      <c r="P49" s="23"/>
      <c r="Q49" s="23"/>
      <c r="R49" s="23"/>
      <c r="S49" s="27">
        <v>81.9</v>
      </c>
      <c r="T49" s="27">
        <v>0.3</v>
      </c>
      <c r="U49" s="23">
        <v>4</v>
      </c>
      <c r="V49" s="23">
        <v>6.7</v>
      </c>
      <c r="W49" s="27">
        <v>241.8</v>
      </c>
      <c r="X49" s="27"/>
      <c r="Y49" s="27">
        <v>30.4</v>
      </c>
      <c r="Z49" s="23"/>
      <c r="AA49" s="23"/>
      <c r="AB49" s="23"/>
      <c r="AC49" s="23"/>
      <c r="AD49" s="28">
        <f t="shared" si="9"/>
        <v>641.4999999999999</v>
      </c>
      <c r="AE49" s="28">
        <f>B49+C49-AD49</f>
        <v>1636.1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92</v>
      </c>
      <c r="C51" s="23">
        <f t="shared" si="11"/>
        <v>136.89999999999986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</v>
      </c>
      <c r="H51" s="23">
        <f t="shared" si="11"/>
        <v>0.30000000000000426</v>
      </c>
      <c r="I51" s="23">
        <f t="shared" si="11"/>
        <v>0</v>
      </c>
      <c r="J51" s="23">
        <f t="shared" si="11"/>
        <v>0.20000000000000284</v>
      </c>
      <c r="K51" s="23">
        <f t="shared" si="11"/>
        <v>0.29999999999999716</v>
      </c>
      <c r="L51" s="23">
        <f t="shared" si="11"/>
        <v>0</v>
      </c>
      <c r="M51" s="23">
        <f t="shared" si="11"/>
        <v>0</v>
      </c>
      <c r="N51" s="23">
        <f t="shared" si="11"/>
        <v>0.5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0.5</v>
      </c>
      <c r="T51" s="23">
        <f t="shared" si="11"/>
        <v>0</v>
      </c>
      <c r="U51" s="23">
        <f t="shared" si="11"/>
        <v>38.7</v>
      </c>
      <c r="V51" s="23">
        <f t="shared" si="11"/>
        <v>0.09999999999999964</v>
      </c>
      <c r="W51" s="23">
        <f t="shared" si="11"/>
        <v>8.699999999999989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49.3</v>
      </c>
      <c r="AE51" s="28">
        <f>AE47-AE49-AE48</f>
        <v>179.5999999999999</v>
      </c>
    </row>
    <row r="52" spans="1:31" ht="15" customHeight="1">
      <c r="A52" s="4" t="s">
        <v>0</v>
      </c>
      <c r="B52" s="23">
        <f>3835+1000-0.2</f>
        <v>4834.8</v>
      </c>
      <c r="C52" s="23">
        <v>1456.7</v>
      </c>
      <c r="D52" s="23"/>
      <c r="E52" s="23">
        <v>1005</v>
      </c>
      <c r="F52" s="23">
        <v>1411.4</v>
      </c>
      <c r="G52" s="23"/>
      <c r="H52" s="23">
        <v>197.5</v>
      </c>
      <c r="I52" s="23"/>
      <c r="J52" s="27">
        <v>100.5</v>
      </c>
      <c r="K52" s="23">
        <v>447.9</v>
      </c>
      <c r="L52" s="23">
        <v>220.2</v>
      </c>
      <c r="M52" s="23">
        <v>131.1</v>
      </c>
      <c r="N52" s="23"/>
      <c r="O52" s="28">
        <v>62</v>
      </c>
      <c r="P52" s="23">
        <v>105.3</v>
      </c>
      <c r="Q52" s="23"/>
      <c r="R52" s="23"/>
      <c r="S52" s="27">
        <v>20.8</v>
      </c>
      <c r="T52" s="27">
        <v>138.1</v>
      </c>
      <c r="U52" s="27">
        <v>75.9</v>
      </c>
      <c r="V52" s="23"/>
      <c r="W52" s="27">
        <v>1121.6</v>
      </c>
      <c r="X52" s="27">
        <v>56</v>
      </c>
      <c r="Y52" s="27">
        <v>16.5</v>
      </c>
      <c r="Z52" s="23"/>
      <c r="AA52" s="23"/>
      <c r="AB52" s="23"/>
      <c r="AC52" s="23"/>
      <c r="AD52" s="28">
        <f t="shared" si="9"/>
        <v>5109.8</v>
      </c>
      <c r="AE52" s="28">
        <f aca="true" t="shared" si="12" ref="AE52:AE59">B52+C52-AD52</f>
        <v>1181.6999999999998</v>
      </c>
    </row>
    <row r="53" spans="1:31" ht="15" customHeight="1">
      <c r="A53" s="3" t="s">
        <v>2</v>
      </c>
      <c r="B53" s="23">
        <v>449</v>
      </c>
      <c r="C53" s="23">
        <v>411.8</v>
      </c>
      <c r="D53" s="23"/>
      <c r="E53" s="23">
        <v>13</v>
      </c>
      <c r="F53" s="23"/>
      <c r="G53" s="23"/>
      <c r="H53" s="23">
        <v>150.2</v>
      </c>
      <c r="I53" s="23"/>
      <c r="J53" s="27">
        <v>100.5</v>
      </c>
      <c r="K53" s="23">
        <v>23.9</v>
      </c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>
        <v>52.6</v>
      </c>
      <c r="X53" s="27">
        <v>56</v>
      </c>
      <c r="Y53" s="27"/>
      <c r="Z53" s="23"/>
      <c r="AA53" s="23"/>
      <c r="AB53" s="23"/>
      <c r="AC53" s="23"/>
      <c r="AD53" s="28">
        <f t="shared" si="9"/>
        <v>396.2</v>
      </c>
      <c r="AE53" s="28">
        <f t="shared" si="12"/>
        <v>464.59999999999997</v>
      </c>
    </row>
    <row r="54" spans="1:32" ht="15" customHeight="1">
      <c r="A54" s="4" t="s">
        <v>9</v>
      </c>
      <c r="B54" s="45">
        <v>1849.4</v>
      </c>
      <c r="C54" s="23">
        <v>1009</v>
      </c>
      <c r="D54" s="23"/>
      <c r="E54" s="23">
        <v>226.9</v>
      </c>
      <c r="F54" s="23"/>
      <c r="G54" s="23">
        <v>420.9</v>
      </c>
      <c r="H54" s="23"/>
      <c r="I54" s="23">
        <v>29.8</v>
      </c>
      <c r="J54" s="27"/>
      <c r="K54" s="23">
        <v>412.4</v>
      </c>
      <c r="L54" s="23"/>
      <c r="M54" s="23"/>
      <c r="N54" s="23">
        <v>5.4</v>
      </c>
      <c r="O54" s="28">
        <v>70.2</v>
      </c>
      <c r="P54" s="23">
        <v>29.4</v>
      </c>
      <c r="Q54" s="28">
        <v>6.7</v>
      </c>
      <c r="R54" s="23"/>
      <c r="S54" s="27">
        <v>30.5</v>
      </c>
      <c r="T54" s="27"/>
      <c r="U54" s="27">
        <v>401.4</v>
      </c>
      <c r="V54" s="23">
        <v>0.1</v>
      </c>
      <c r="W54" s="27"/>
      <c r="X54" s="27">
        <v>1.5</v>
      </c>
      <c r="Y54" s="27"/>
      <c r="Z54" s="23"/>
      <c r="AA54" s="23"/>
      <c r="AB54" s="23"/>
      <c r="AC54" s="23"/>
      <c r="AD54" s="28">
        <f t="shared" si="9"/>
        <v>1635.2000000000003</v>
      </c>
      <c r="AE54" s="23">
        <f t="shared" si="12"/>
        <v>1223.1999999999998</v>
      </c>
      <c r="AF54" s="6"/>
    </row>
    <row r="55" spans="1:32" ht="15.75">
      <c r="A55" s="3" t="s">
        <v>5</v>
      </c>
      <c r="B55" s="23">
        <f>1071.2+17.8</f>
        <v>1089</v>
      </c>
      <c r="C55" s="23">
        <v>258.7</v>
      </c>
      <c r="D55" s="23"/>
      <c r="E55" s="23">
        <v>103.5</v>
      </c>
      <c r="F55" s="23"/>
      <c r="G55" s="23"/>
      <c r="H55" s="23"/>
      <c r="I55" s="23"/>
      <c r="J55" s="27"/>
      <c r="K55" s="23">
        <v>404.5</v>
      </c>
      <c r="L55" s="23"/>
      <c r="M55" s="23"/>
      <c r="N55" s="23"/>
      <c r="O55" s="28"/>
      <c r="P55" s="23"/>
      <c r="Q55" s="28">
        <v>5.7</v>
      </c>
      <c r="R55" s="23"/>
      <c r="S55" s="27"/>
      <c r="T55" s="27"/>
      <c r="U55" s="27">
        <v>308.6</v>
      </c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822.3000000000001</v>
      </c>
      <c r="AE55" s="23">
        <f t="shared" si="12"/>
        <v>525.4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22.5-17.8</f>
        <v>4.699999999999999</v>
      </c>
      <c r="C57" s="23">
        <v>367.2</v>
      </c>
      <c r="D57" s="23"/>
      <c r="E57" s="23">
        <v>0.1</v>
      </c>
      <c r="F57" s="23"/>
      <c r="G57" s="23">
        <v>2.3</v>
      </c>
      <c r="H57" s="23"/>
      <c r="I57" s="23"/>
      <c r="J57" s="27"/>
      <c r="K57" s="23"/>
      <c r="L57" s="23"/>
      <c r="M57" s="23"/>
      <c r="N57" s="23">
        <v>3.4</v>
      </c>
      <c r="O57" s="28">
        <v>0.7</v>
      </c>
      <c r="P57" s="23">
        <v>0.2</v>
      </c>
      <c r="Q57" s="28">
        <v>0.6</v>
      </c>
      <c r="R57" s="23"/>
      <c r="S57" s="27">
        <v>0.4</v>
      </c>
      <c r="T57" s="27"/>
      <c r="U57" s="27">
        <v>6.4</v>
      </c>
      <c r="V57" s="23">
        <v>0.1</v>
      </c>
      <c r="W57" s="27"/>
      <c r="X57" s="27"/>
      <c r="Y57" s="27"/>
      <c r="Z57" s="23"/>
      <c r="AA57" s="23"/>
      <c r="AB57" s="23"/>
      <c r="AC57" s="23"/>
      <c r="AD57" s="28">
        <f t="shared" si="9"/>
        <v>14.200000000000001</v>
      </c>
      <c r="AE57" s="23">
        <f t="shared" si="12"/>
        <v>357.7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755.7</v>
      </c>
      <c r="C60" s="23">
        <f t="shared" si="13"/>
        <v>363.09999999999997</v>
      </c>
      <c r="D60" s="23">
        <f t="shared" si="13"/>
        <v>0</v>
      </c>
      <c r="E60" s="23">
        <f t="shared" si="13"/>
        <v>123.30000000000001</v>
      </c>
      <c r="F60" s="23">
        <f t="shared" si="13"/>
        <v>0</v>
      </c>
      <c r="G60" s="23">
        <f t="shared" si="13"/>
        <v>418.59999999999997</v>
      </c>
      <c r="H60" s="23">
        <f t="shared" si="13"/>
        <v>0</v>
      </c>
      <c r="I60" s="23">
        <f t="shared" si="13"/>
        <v>29.8</v>
      </c>
      <c r="J60" s="23">
        <f t="shared" si="13"/>
        <v>0</v>
      </c>
      <c r="K60" s="23">
        <f t="shared" si="13"/>
        <v>7.899999999999977</v>
      </c>
      <c r="L60" s="23">
        <f t="shared" si="13"/>
        <v>0</v>
      </c>
      <c r="M60" s="23">
        <f t="shared" si="13"/>
        <v>0</v>
      </c>
      <c r="N60" s="23">
        <f t="shared" si="13"/>
        <v>2.0000000000000004</v>
      </c>
      <c r="O60" s="23">
        <f t="shared" si="13"/>
        <v>69.5</v>
      </c>
      <c r="P60" s="23">
        <f t="shared" si="13"/>
        <v>29.2</v>
      </c>
      <c r="Q60" s="23">
        <f t="shared" si="13"/>
        <v>0.4</v>
      </c>
      <c r="R60" s="23">
        <f t="shared" si="13"/>
        <v>0</v>
      </c>
      <c r="S60" s="23">
        <f t="shared" si="13"/>
        <v>30.1</v>
      </c>
      <c r="T60" s="23">
        <f t="shared" si="13"/>
        <v>0</v>
      </c>
      <c r="U60" s="23">
        <f t="shared" si="13"/>
        <v>86.39999999999995</v>
      </c>
      <c r="V60" s="23">
        <f t="shared" si="13"/>
        <v>0</v>
      </c>
      <c r="W60" s="23">
        <f t="shared" si="13"/>
        <v>0</v>
      </c>
      <c r="X60" s="23">
        <f t="shared" si="13"/>
        <v>1.5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798.7000000000002</v>
      </c>
      <c r="AE60" s="23">
        <f>AE54-AE55-AE57-AE59-AE56-AE58</f>
        <v>320.09999999999985</v>
      </c>
    </row>
    <row r="61" spans="1:31" ht="15" customHeight="1">
      <c r="A61" s="4" t="s">
        <v>10</v>
      </c>
      <c r="B61" s="23">
        <v>63.8</v>
      </c>
      <c r="C61" s="23">
        <v>24.1</v>
      </c>
      <c r="D61" s="23"/>
      <c r="E61" s="23">
        <v>26.1</v>
      </c>
      <c r="F61" s="23"/>
      <c r="G61" s="23"/>
      <c r="H61" s="23"/>
      <c r="I61" s="23"/>
      <c r="J61" s="27"/>
      <c r="K61" s="23">
        <v>5.1</v>
      </c>
      <c r="L61" s="23"/>
      <c r="M61" s="23"/>
      <c r="N61" s="23">
        <v>3</v>
      </c>
      <c r="O61" s="28"/>
      <c r="P61" s="23">
        <v>1</v>
      </c>
      <c r="Q61" s="28"/>
      <c r="R61" s="23"/>
      <c r="S61" s="27"/>
      <c r="T61" s="27"/>
      <c r="U61" s="27"/>
      <c r="V61" s="23">
        <v>25.2</v>
      </c>
      <c r="W61" s="27"/>
      <c r="X61" s="27">
        <v>2</v>
      </c>
      <c r="Y61" s="27"/>
      <c r="Z61" s="23"/>
      <c r="AA61" s="23"/>
      <c r="AB61" s="23"/>
      <c r="AC61" s="23"/>
      <c r="AD61" s="28">
        <f aca="true" t="shared" si="14" ref="AD61:AD91">SUM(D61:AB61)</f>
        <v>62.400000000000006</v>
      </c>
      <c r="AE61" s="23">
        <f aca="true" t="shared" si="15" ref="AE61:AE67">B61+C61-AD61</f>
        <v>25.5</v>
      </c>
    </row>
    <row r="62" spans="1:31" ht="15" customHeight="1">
      <c r="A62" s="4" t="s">
        <v>11</v>
      </c>
      <c r="B62" s="23">
        <v>1009.7</v>
      </c>
      <c r="C62" s="23">
        <v>626.6</v>
      </c>
      <c r="D62" s="23"/>
      <c r="E62" s="23">
        <v>9.5</v>
      </c>
      <c r="F62" s="23"/>
      <c r="G62" s="23"/>
      <c r="H62" s="23"/>
      <c r="I62" s="23">
        <v>54.8</v>
      </c>
      <c r="J62" s="27"/>
      <c r="K62" s="23">
        <v>362</v>
      </c>
      <c r="L62" s="23"/>
      <c r="M62" s="23"/>
      <c r="N62" s="23">
        <v>13.6</v>
      </c>
      <c r="O62" s="28">
        <v>26.1</v>
      </c>
      <c r="P62" s="23">
        <v>0.4</v>
      </c>
      <c r="Q62" s="28"/>
      <c r="R62" s="23"/>
      <c r="S62" s="27">
        <v>1.1</v>
      </c>
      <c r="T62" s="27">
        <v>0.1</v>
      </c>
      <c r="U62" s="27">
        <v>32.1</v>
      </c>
      <c r="V62" s="23">
        <v>477.5</v>
      </c>
      <c r="W62" s="27"/>
      <c r="X62" s="27">
        <v>22.1</v>
      </c>
      <c r="Y62" s="27"/>
      <c r="Z62" s="23"/>
      <c r="AA62" s="23"/>
      <c r="AB62" s="23"/>
      <c r="AC62" s="23"/>
      <c r="AD62" s="28">
        <f t="shared" si="14"/>
        <v>999.3000000000001</v>
      </c>
      <c r="AE62" s="23">
        <f t="shared" si="15"/>
        <v>637.0000000000001</v>
      </c>
    </row>
    <row r="63" spans="1:32" ht="15.75">
      <c r="A63" s="3" t="s">
        <v>5</v>
      </c>
      <c r="B63" s="23">
        <v>720.8</v>
      </c>
      <c r="C63" s="23">
        <v>32.5</v>
      </c>
      <c r="D63" s="23"/>
      <c r="E63" s="23"/>
      <c r="F63" s="23"/>
      <c r="G63" s="23"/>
      <c r="H63" s="23"/>
      <c r="I63" s="23"/>
      <c r="J63" s="27"/>
      <c r="K63" s="23">
        <v>295.1</v>
      </c>
      <c r="L63" s="23"/>
      <c r="M63" s="23"/>
      <c r="N63" s="23">
        <v>13.6</v>
      </c>
      <c r="O63" s="28"/>
      <c r="P63" s="23"/>
      <c r="Q63" s="28"/>
      <c r="R63" s="23"/>
      <c r="S63" s="27"/>
      <c r="T63" s="27"/>
      <c r="U63" s="27"/>
      <c r="V63" s="23">
        <v>394.1</v>
      </c>
      <c r="W63" s="27"/>
      <c r="X63" s="27"/>
      <c r="Y63" s="27"/>
      <c r="Z63" s="23"/>
      <c r="AA63" s="23"/>
      <c r="AB63" s="23"/>
      <c r="AC63" s="23"/>
      <c r="AD63" s="28">
        <f t="shared" si="14"/>
        <v>702.8000000000001</v>
      </c>
      <c r="AE63" s="23">
        <f t="shared" si="15"/>
        <v>50.499999999999886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11.9</v>
      </c>
      <c r="C65" s="23">
        <v>25.8</v>
      </c>
      <c r="D65" s="23"/>
      <c r="E65" s="23"/>
      <c r="F65" s="23"/>
      <c r="G65" s="23"/>
      <c r="H65" s="23"/>
      <c r="I65" s="23">
        <v>1.9</v>
      </c>
      <c r="J65" s="27"/>
      <c r="K65" s="23"/>
      <c r="L65" s="23"/>
      <c r="M65" s="23"/>
      <c r="N65" s="23"/>
      <c r="O65" s="28">
        <v>4.9</v>
      </c>
      <c r="P65" s="23"/>
      <c r="Q65" s="28"/>
      <c r="R65" s="23"/>
      <c r="S65" s="27">
        <v>0.7</v>
      </c>
      <c r="T65" s="27"/>
      <c r="U65" s="27">
        <v>2.4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9.9</v>
      </c>
      <c r="AE65" s="23">
        <f t="shared" si="15"/>
        <v>27.800000000000004</v>
      </c>
      <c r="AF65" s="6"/>
    </row>
    <row r="66" spans="1:31" ht="15.75">
      <c r="A66" s="3" t="s">
        <v>2</v>
      </c>
      <c r="B66" s="23">
        <v>10.5</v>
      </c>
      <c r="C66" s="23">
        <v>11.9</v>
      </c>
      <c r="D66" s="23"/>
      <c r="E66" s="23"/>
      <c r="F66" s="23"/>
      <c r="G66" s="23"/>
      <c r="H66" s="23"/>
      <c r="I66" s="23">
        <v>1.4</v>
      </c>
      <c r="J66" s="27"/>
      <c r="K66" s="23"/>
      <c r="L66" s="23"/>
      <c r="M66" s="23"/>
      <c r="N66" s="23"/>
      <c r="O66" s="28">
        <v>1.4</v>
      </c>
      <c r="P66" s="23"/>
      <c r="Q66" s="23"/>
      <c r="R66" s="23"/>
      <c r="S66" s="27">
        <v>0.4</v>
      </c>
      <c r="T66" s="27">
        <v>0.1</v>
      </c>
      <c r="U66" s="27">
        <v>0.5</v>
      </c>
      <c r="V66" s="23"/>
      <c r="W66" s="27"/>
      <c r="X66" s="27">
        <v>4.8</v>
      </c>
      <c r="Y66" s="27"/>
      <c r="Z66" s="23"/>
      <c r="AA66" s="23"/>
      <c r="AB66" s="23"/>
      <c r="AC66" s="23"/>
      <c r="AD66" s="28">
        <f t="shared" si="14"/>
        <v>8.6</v>
      </c>
      <c r="AE66" s="23">
        <f t="shared" si="15"/>
        <v>13.799999999999999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266.5000000000001</v>
      </c>
      <c r="C68" s="23">
        <f t="shared" si="16"/>
        <v>556.4000000000001</v>
      </c>
      <c r="D68" s="23">
        <f t="shared" si="16"/>
        <v>0</v>
      </c>
      <c r="E68" s="23">
        <f t="shared" si="16"/>
        <v>9.5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51.5</v>
      </c>
      <c r="J68" s="23">
        <f t="shared" si="16"/>
        <v>0</v>
      </c>
      <c r="K68" s="23">
        <f t="shared" si="16"/>
        <v>66.89999999999998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19.800000000000004</v>
      </c>
      <c r="P68" s="23">
        <f t="shared" si="16"/>
        <v>0.4</v>
      </c>
      <c r="Q68" s="23">
        <f t="shared" si="16"/>
        <v>0</v>
      </c>
      <c r="R68" s="23">
        <f t="shared" si="16"/>
        <v>0</v>
      </c>
      <c r="S68" s="23">
        <f t="shared" si="16"/>
        <v>1.1102230246251565E-16</v>
      </c>
      <c r="T68" s="23">
        <f t="shared" si="16"/>
        <v>0</v>
      </c>
      <c r="U68" s="23">
        <f t="shared" si="16"/>
        <v>29.200000000000003</v>
      </c>
      <c r="V68" s="23">
        <f t="shared" si="16"/>
        <v>83.39999999999998</v>
      </c>
      <c r="W68" s="23">
        <f t="shared" si="16"/>
        <v>0</v>
      </c>
      <c r="X68" s="23">
        <f t="shared" si="16"/>
        <v>17.3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278</v>
      </c>
      <c r="AE68" s="23">
        <f>AE62-AE63-AE66-AE67-AE65-AE64</f>
        <v>544.9000000000003</v>
      </c>
    </row>
    <row r="69" spans="1:31" ht="31.5">
      <c r="A69" s="4" t="s">
        <v>33</v>
      </c>
      <c r="B69" s="23">
        <v>345.2</v>
      </c>
      <c r="C69" s="23">
        <v>225.5</v>
      </c>
      <c r="D69" s="23"/>
      <c r="E69" s="23"/>
      <c r="F69" s="23">
        <v>345.2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345.2</v>
      </c>
      <c r="AE69" s="31">
        <f aca="true" t="shared" si="17" ref="AE69:AE91">B69+C69-AD69</f>
        <v>225.50000000000006</v>
      </c>
    </row>
    <row r="70" spans="1:31" ht="15.75">
      <c r="A70" s="4" t="s">
        <v>42</v>
      </c>
      <c r="B70" s="23">
        <v>5.5</v>
      </c>
      <c r="C70" s="23">
        <v>0.8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>
        <v>2.7</v>
      </c>
      <c r="X70" s="27"/>
      <c r="Y70" s="27"/>
      <c r="Z70" s="23"/>
      <c r="AA70" s="23"/>
      <c r="AB70" s="23"/>
      <c r="AC70" s="23"/>
      <c r="AD70" s="28">
        <f t="shared" si="14"/>
        <v>2.7</v>
      </c>
      <c r="AE70" s="31">
        <f t="shared" si="17"/>
        <v>3.5999999999999996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472.6</v>
      </c>
      <c r="C72" s="23">
        <v>2435.1</v>
      </c>
      <c r="D72" s="23">
        <v>39.7</v>
      </c>
      <c r="E72" s="23">
        <v>15.9</v>
      </c>
      <c r="F72" s="23">
        <v>9.5</v>
      </c>
      <c r="G72" s="23">
        <v>46</v>
      </c>
      <c r="H72" s="23">
        <f>43.9+14.8</f>
        <v>58.7</v>
      </c>
      <c r="I72" s="23">
        <v>4.9</v>
      </c>
      <c r="J72" s="27">
        <v>4.8</v>
      </c>
      <c r="K72" s="23">
        <v>4.6</v>
      </c>
      <c r="L72" s="23">
        <v>5.2</v>
      </c>
      <c r="M72" s="23">
        <v>2.1</v>
      </c>
      <c r="N72" s="23">
        <v>1</v>
      </c>
      <c r="O72" s="23"/>
      <c r="P72" s="23">
        <v>5.1</v>
      </c>
      <c r="Q72" s="28">
        <v>2.3</v>
      </c>
      <c r="R72" s="23"/>
      <c r="S72" s="27">
        <v>1.2</v>
      </c>
      <c r="T72" s="27">
        <v>44</v>
      </c>
      <c r="U72" s="27"/>
      <c r="V72" s="23">
        <v>1.1</v>
      </c>
      <c r="W72" s="27">
        <v>100.5</v>
      </c>
      <c r="X72" s="27">
        <v>53.9</v>
      </c>
      <c r="Y72" s="27">
        <v>15.2</v>
      </c>
      <c r="Z72" s="23">
        <v>8.4</v>
      </c>
      <c r="AA72" s="23"/>
      <c r="AB72" s="23"/>
      <c r="AC72" s="23"/>
      <c r="AD72" s="28">
        <f t="shared" si="14"/>
        <v>424.09999999999997</v>
      </c>
      <c r="AE72" s="31">
        <f t="shared" si="17"/>
        <v>2483.6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>
        <v>16.7</v>
      </c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87.1</v>
      </c>
      <c r="D74" s="23"/>
      <c r="E74" s="23"/>
      <c r="F74" s="23"/>
      <c r="G74" s="23">
        <v>13.6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13.6</v>
      </c>
      <c r="AE74" s="31">
        <f t="shared" si="17"/>
        <v>96.6</v>
      </c>
    </row>
    <row r="75" spans="1:31" s="11" customFormat="1" ht="31.5">
      <c r="A75" s="12" t="s">
        <v>21</v>
      </c>
      <c r="B75" s="23">
        <v>82.9</v>
      </c>
      <c r="C75" s="23">
        <v>588.4</v>
      </c>
      <c r="D75" s="23"/>
      <c r="E75" s="29"/>
      <c r="F75" s="29"/>
      <c r="G75" s="29">
        <v>77.1</v>
      </c>
      <c r="H75" s="29"/>
      <c r="I75" s="29"/>
      <c r="J75" s="30">
        <v>25.6</v>
      </c>
      <c r="K75" s="29"/>
      <c r="L75" s="29"/>
      <c r="M75" s="29"/>
      <c r="N75" s="29"/>
      <c r="O75" s="29"/>
      <c r="P75" s="29"/>
      <c r="Q75" s="32"/>
      <c r="R75" s="29"/>
      <c r="S75" s="30">
        <v>1.9</v>
      </c>
      <c r="T75" s="30"/>
      <c r="U75" s="29">
        <v>53.3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157.89999999999998</v>
      </c>
      <c r="AE75" s="31">
        <f t="shared" si="17"/>
        <v>513.4</v>
      </c>
    </row>
    <row r="76" spans="1:31" s="11" customFormat="1" ht="15.75">
      <c r="A76" s="3" t="s">
        <v>5</v>
      </c>
      <c r="B76" s="23">
        <v>78.4</v>
      </c>
      <c r="C76" s="23">
        <v>6.4</v>
      </c>
      <c r="D76" s="23"/>
      <c r="E76" s="29"/>
      <c r="F76" s="29"/>
      <c r="G76" s="29"/>
      <c r="H76" s="29"/>
      <c r="I76" s="29"/>
      <c r="J76" s="30">
        <v>25.6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>
        <v>53.3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78.9</v>
      </c>
      <c r="AE76" s="31">
        <f t="shared" si="17"/>
        <v>5.900000000000006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>
        <v>0.3</v>
      </c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>
        <v>200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200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7.2</v>
      </c>
      <c r="C87" s="23">
        <v>318.6</v>
      </c>
      <c r="D87" s="23"/>
      <c r="E87" s="23"/>
      <c r="F87" s="23"/>
      <c r="G87" s="23">
        <v>199.1</v>
      </c>
      <c r="H87" s="23"/>
      <c r="I87" s="23"/>
      <c r="J87" s="23">
        <v>14</v>
      </c>
      <c r="K87" s="23"/>
      <c r="L87" s="23"/>
      <c r="M87" s="23"/>
      <c r="N87" s="23"/>
      <c r="O87" s="23"/>
      <c r="P87" s="23"/>
      <c r="Q87" s="23"/>
      <c r="R87" s="23"/>
      <c r="S87" s="27">
        <f>63.3+39.8</f>
        <v>103.1</v>
      </c>
      <c r="T87" s="27"/>
      <c r="U87" s="23"/>
      <c r="V87" s="27"/>
      <c r="W87" s="27">
        <v>2.3</v>
      </c>
      <c r="X87" s="27"/>
      <c r="Y87" s="27"/>
      <c r="Z87" s="23"/>
      <c r="AA87" s="23"/>
      <c r="AB87" s="23"/>
      <c r="AC87" s="23"/>
      <c r="AD87" s="28">
        <f t="shared" si="14"/>
        <v>318.5</v>
      </c>
      <c r="AE87" s="23">
        <f t="shared" si="17"/>
        <v>7.300000000000011</v>
      </c>
      <c r="AF87" s="11"/>
    </row>
    <row r="88" spans="1:32" ht="15.75">
      <c r="A88" s="4" t="s">
        <v>54</v>
      </c>
      <c r="B88" s="23">
        <v>350</v>
      </c>
      <c r="C88" s="23">
        <v>1544.1</v>
      </c>
      <c r="D88" s="23"/>
      <c r="E88" s="23"/>
      <c r="F88" s="23"/>
      <c r="G88" s="23"/>
      <c r="H88" s="23"/>
      <c r="I88" s="23">
        <v>48.1</v>
      </c>
      <c r="J88" s="23"/>
      <c r="K88" s="23"/>
      <c r="L88" s="23"/>
      <c r="M88" s="23"/>
      <c r="N88" s="23"/>
      <c r="O88" s="23">
        <v>278.9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327</v>
      </c>
      <c r="AE88" s="23">
        <f t="shared" si="17"/>
        <v>1567.1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/>
      <c r="X89" s="27"/>
      <c r="Y89" s="27">
        <v>618.5</v>
      </c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57.9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57.9</v>
      </c>
      <c r="AF90" s="11"/>
    </row>
    <row r="91" spans="1:32" ht="15.75">
      <c r="A91" s="4" t="s">
        <v>53</v>
      </c>
      <c r="B91" s="23">
        <v>18786.6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>
        <v>18786.6</v>
      </c>
      <c r="AA91" s="23"/>
      <c r="AB91" s="23"/>
      <c r="AC91" s="23"/>
      <c r="AD91" s="28">
        <f t="shared" si="14"/>
        <v>18786.6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80842.5</v>
      </c>
      <c r="C93" s="43">
        <f t="shared" si="18"/>
        <v>19640.7</v>
      </c>
      <c r="D93" s="43">
        <f t="shared" si="18"/>
        <v>732.2</v>
      </c>
      <c r="E93" s="43">
        <f t="shared" si="18"/>
        <v>10357</v>
      </c>
      <c r="F93" s="43">
        <f t="shared" si="18"/>
        <v>3817.5</v>
      </c>
      <c r="G93" s="43">
        <f t="shared" si="18"/>
        <v>973.4000000000001</v>
      </c>
      <c r="H93" s="43">
        <f t="shared" si="18"/>
        <v>330.7</v>
      </c>
      <c r="I93" s="43">
        <f t="shared" si="18"/>
        <v>217.1</v>
      </c>
      <c r="J93" s="43">
        <f t="shared" si="18"/>
        <v>406.5</v>
      </c>
      <c r="K93" s="43">
        <f t="shared" si="18"/>
        <v>6510.7</v>
      </c>
      <c r="L93" s="43">
        <f t="shared" si="18"/>
        <v>6970.5</v>
      </c>
      <c r="M93" s="43">
        <f t="shared" si="18"/>
        <v>1031.8999999999999</v>
      </c>
      <c r="N93" s="43">
        <f t="shared" si="18"/>
        <v>176.2</v>
      </c>
      <c r="O93" s="43">
        <f t="shared" si="18"/>
        <v>493.69999999999993</v>
      </c>
      <c r="P93" s="43">
        <f t="shared" si="18"/>
        <v>203.1</v>
      </c>
      <c r="Q93" s="43">
        <f t="shared" si="18"/>
        <v>1061.4</v>
      </c>
      <c r="R93" s="43">
        <f t="shared" si="18"/>
        <v>0</v>
      </c>
      <c r="S93" s="43">
        <f t="shared" si="18"/>
        <v>1989.2000000000003</v>
      </c>
      <c r="T93" s="43">
        <f t="shared" si="18"/>
        <v>300.99999999999994</v>
      </c>
      <c r="U93" s="43">
        <f t="shared" si="18"/>
        <v>5596.299999999999</v>
      </c>
      <c r="V93" s="43">
        <f t="shared" si="18"/>
        <v>2192</v>
      </c>
      <c r="W93" s="43">
        <f t="shared" si="18"/>
        <v>8948.5</v>
      </c>
      <c r="X93" s="43">
        <f>X10+X15+X24+X33+X47+X52+X54+X61+X62+X69+X71+X72+X75+X80+X81+X82+X87+X88+X89+X90+X40</f>
        <v>667.1999999999999</v>
      </c>
      <c r="Y93" s="43">
        <f>Y10+Y15+Y24+Y33+Y47+Y52+Y54+Y61+Y62+Y69+Y71+Y72+Y75+Y80+Y81+Y82+Y87+Y88+Y89+Y90+Y40</f>
        <v>984.6999999999999</v>
      </c>
      <c r="Z93" s="43">
        <f>Z10+Z15+Z24+Z33+Z47+Z52+Z54+Z61+Z62+Z69+Z71+Z72+Z75+Z80+Z81+Z82+Z87+Z88+Z89+Z90+Z40</f>
        <v>7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72754.40000000001</v>
      </c>
      <c r="AE93" s="59">
        <f>AE10+AE15+AE24+AE33+AE47+AE52+AE54+AE61+AE62+AE69+AE71+AE72+AE75+AE80+AE81+AE82+AE87+AE88+AE89+AE90+AE70+AE40+AE91</f>
        <v>27728.800000000003</v>
      </c>
    </row>
    <row r="94" spans="1:31" ht="15.75">
      <c r="A94" s="3" t="s">
        <v>5</v>
      </c>
      <c r="B94" s="23">
        <f aca="true" t="shared" si="19" ref="B94:AB94">B11+B17+B26+B34+B55+B63+B73+B41+B76</f>
        <v>38168.5</v>
      </c>
      <c r="C94" s="23">
        <f t="shared" si="19"/>
        <v>902.8000000000001</v>
      </c>
      <c r="D94" s="23">
        <f t="shared" si="19"/>
        <v>686.1</v>
      </c>
      <c r="E94" s="23">
        <f t="shared" si="19"/>
        <v>8786.6</v>
      </c>
      <c r="F94" s="23">
        <f t="shared" si="19"/>
        <v>18.3</v>
      </c>
      <c r="G94" s="23">
        <f t="shared" si="19"/>
        <v>0</v>
      </c>
      <c r="H94" s="23">
        <f t="shared" si="19"/>
        <v>3.7</v>
      </c>
      <c r="I94" s="23">
        <f t="shared" si="19"/>
        <v>36.4</v>
      </c>
      <c r="J94" s="23">
        <f t="shared" si="19"/>
        <v>109.19999999999999</v>
      </c>
      <c r="K94" s="23">
        <f t="shared" si="19"/>
        <v>5243.7</v>
      </c>
      <c r="L94" s="23">
        <f t="shared" si="19"/>
        <v>6741.700000000001</v>
      </c>
      <c r="M94" s="23">
        <f t="shared" si="19"/>
        <v>184.1</v>
      </c>
      <c r="N94" s="23">
        <f t="shared" si="19"/>
        <v>13.6</v>
      </c>
      <c r="O94" s="23">
        <f t="shared" si="19"/>
        <v>36.099999999999994</v>
      </c>
      <c r="P94" s="23">
        <f t="shared" si="19"/>
        <v>18.8</v>
      </c>
      <c r="Q94" s="23">
        <f t="shared" si="19"/>
        <v>31.599999999999998</v>
      </c>
      <c r="R94" s="23">
        <f t="shared" si="19"/>
        <v>0</v>
      </c>
      <c r="S94" s="23">
        <f t="shared" si="19"/>
        <v>54.099999999999994</v>
      </c>
      <c r="T94" s="23">
        <f t="shared" si="19"/>
        <v>0</v>
      </c>
      <c r="U94" s="23">
        <f t="shared" si="19"/>
        <v>5197.200000000001</v>
      </c>
      <c r="V94" s="23">
        <f t="shared" si="19"/>
        <v>1404.4</v>
      </c>
      <c r="W94" s="23">
        <f t="shared" si="19"/>
        <v>7443.999999999999</v>
      </c>
      <c r="X94" s="23">
        <f t="shared" si="19"/>
        <v>370.09999999999997</v>
      </c>
      <c r="Y94" s="23">
        <f t="shared" si="19"/>
        <v>5.5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36385.19999999999</v>
      </c>
      <c r="AE94" s="28">
        <f>B94+C94-AD94</f>
        <v>2686.100000000013</v>
      </c>
    </row>
    <row r="95" spans="1:31" ht="15.75">
      <c r="A95" s="3" t="s">
        <v>2</v>
      </c>
      <c r="B95" s="23">
        <f aca="true" t="shared" si="20" ref="B95:AB95">B12+B20+B29+B36+B57+B66+B44+B79+B74+B53</f>
        <v>7100.1</v>
      </c>
      <c r="C95" s="23">
        <f t="shared" si="20"/>
        <v>3709.0000000000005</v>
      </c>
      <c r="D95" s="23">
        <f t="shared" si="20"/>
        <v>0.3</v>
      </c>
      <c r="E95" s="23">
        <f t="shared" si="20"/>
        <v>19.5</v>
      </c>
      <c r="F95" s="23">
        <f t="shared" si="20"/>
        <v>821.8</v>
      </c>
      <c r="G95" s="23">
        <f t="shared" si="20"/>
        <v>73.99999999999999</v>
      </c>
      <c r="H95" s="23">
        <f t="shared" si="20"/>
        <v>158.6</v>
      </c>
      <c r="I95" s="23">
        <f t="shared" si="20"/>
        <v>9.4</v>
      </c>
      <c r="J95" s="23">
        <f t="shared" si="20"/>
        <v>101</v>
      </c>
      <c r="K95" s="23">
        <f t="shared" si="20"/>
        <v>23.9</v>
      </c>
      <c r="L95" s="23">
        <f t="shared" si="20"/>
        <v>0</v>
      </c>
      <c r="M95" s="23">
        <f t="shared" si="20"/>
        <v>218.1</v>
      </c>
      <c r="N95" s="23">
        <f t="shared" si="20"/>
        <v>3.4</v>
      </c>
      <c r="O95" s="23">
        <f t="shared" si="20"/>
        <v>7.699999999999999</v>
      </c>
      <c r="P95" s="23">
        <f t="shared" si="20"/>
        <v>0.8</v>
      </c>
      <c r="Q95" s="23">
        <f t="shared" si="20"/>
        <v>23.8</v>
      </c>
      <c r="R95" s="23">
        <f t="shared" si="20"/>
        <v>0</v>
      </c>
      <c r="S95" s="23">
        <f t="shared" si="20"/>
        <v>519.5999999999999</v>
      </c>
      <c r="T95" s="23">
        <f t="shared" si="20"/>
        <v>1.2000000000000002</v>
      </c>
      <c r="U95" s="23">
        <f t="shared" si="20"/>
        <v>8.6</v>
      </c>
      <c r="V95" s="23">
        <f t="shared" si="20"/>
        <v>458.3</v>
      </c>
      <c r="W95" s="23">
        <f t="shared" si="20"/>
        <v>52.6</v>
      </c>
      <c r="X95" s="23">
        <f t="shared" si="20"/>
        <v>68</v>
      </c>
      <c r="Y95" s="23">
        <f t="shared" si="20"/>
        <v>5.8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2576.4</v>
      </c>
      <c r="AE95" s="28">
        <f>B95+C95-AD95</f>
        <v>8232.7</v>
      </c>
    </row>
    <row r="96" spans="1:31" ht="15.75">
      <c r="A96" s="3" t="s">
        <v>3</v>
      </c>
      <c r="B96" s="23">
        <f aca="true" t="shared" si="21" ref="B96:Y96">B18+B27+B42+B64+B77</f>
        <v>1264.5</v>
      </c>
      <c r="C96" s="23">
        <f t="shared" si="21"/>
        <v>1754.2000000000003</v>
      </c>
      <c r="D96" s="23">
        <f t="shared" si="21"/>
        <v>0</v>
      </c>
      <c r="E96" s="23">
        <f t="shared" si="21"/>
        <v>0</v>
      </c>
      <c r="F96" s="23">
        <f t="shared" si="21"/>
        <v>3.5</v>
      </c>
      <c r="G96" s="23">
        <f t="shared" si="21"/>
        <v>23.5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0.4</v>
      </c>
      <c r="M96" s="23">
        <f t="shared" si="21"/>
        <v>1.2</v>
      </c>
      <c r="N96" s="23">
        <f t="shared" si="21"/>
        <v>0</v>
      </c>
      <c r="O96" s="23">
        <f t="shared" si="21"/>
        <v>30.3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658.3</v>
      </c>
      <c r="T96" s="23">
        <f t="shared" si="21"/>
        <v>3.6</v>
      </c>
      <c r="U96" s="23">
        <f t="shared" si="21"/>
        <v>8.8</v>
      </c>
      <c r="V96" s="23">
        <f t="shared" si="21"/>
        <v>69.3</v>
      </c>
      <c r="W96" s="23">
        <f t="shared" si="21"/>
        <v>0</v>
      </c>
      <c r="X96" s="23">
        <f t="shared" si="21"/>
        <v>15.5</v>
      </c>
      <c r="Y96" s="23">
        <f t="shared" si="21"/>
        <v>197.3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1011.6999999999998</v>
      </c>
      <c r="AE96" s="28">
        <f>B96+C96-AD96</f>
        <v>2007.0000000000005</v>
      </c>
    </row>
    <row r="97" spans="1:31" ht="15.75">
      <c r="A97" s="3" t="s">
        <v>1</v>
      </c>
      <c r="B97" s="23">
        <f aca="true" t="shared" si="22" ref="B97:Y97">B19+B28+B65+B35+B43+B56+B48+B78</f>
        <v>3219.4</v>
      </c>
      <c r="C97" s="23">
        <f t="shared" si="22"/>
        <v>583.0999999999999</v>
      </c>
      <c r="D97" s="23">
        <f t="shared" si="22"/>
        <v>0</v>
      </c>
      <c r="E97" s="23">
        <f t="shared" si="22"/>
        <v>0</v>
      </c>
      <c r="F97" s="23">
        <f t="shared" si="22"/>
        <v>977.3</v>
      </c>
      <c r="G97" s="23">
        <f t="shared" si="22"/>
        <v>0</v>
      </c>
      <c r="H97" s="23">
        <f t="shared" si="22"/>
        <v>0</v>
      </c>
      <c r="I97" s="23">
        <f t="shared" si="22"/>
        <v>1.9</v>
      </c>
      <c r="J97" s="23">
        <f t="shared" si="22"/>
        <v>5.5</v>
      </c>
      <c r="K97" s="23">
        <f t="shared" si="22"/>
        <v>25</v>
      </c>
      <c r="L97" s="23">
        <f t="shared" si="22"/>
        <v>0</v>
      </c>
      <c r="M97" s="23">
        <f t="shared" si="22"/>
        <v>385.3</v>
      </c>
      <c r="N97" s="23">
        <f t="shared" si="22"/>
        <v>30.3</v>
      </c>
      <c r="O97" s="23">
        <f t="shared" si="22"/>
        <v>-25.4</v>
      </c>
      <c r="P97" s="23">
        <f t="shared" si="22"/>
        <v>0</v>
      </c>
      <c r="Q97" s="23">
        <f t="shared" si="22"/>
        <v>7.6000000000000005</v>
      </c>
      <c r="R97" s="23">
        <f t="shared" si="22"/>
        <v>0</v>
      </c>
      <c r="S97" s="23">
        <f t="shared" si="22"/>
        <v>144.4</v>
      </c>
      <c r="T97" s="23">
        <f t="shared" si="22"/>
        <v>98.3</v>
      </c>
      <c r="U97" s="23">
        <f t="shared" si="22"/>
        <v>116.80000000000001</v>
      </c>
      <c r="V97" s="23">
        <f t="shared" si="22"/>
        <v>8.5</v>
      </c>
      <c r="W97" s="23">
        <f t="shared" si="22"/>
        <v>0</v>
      </c>
      <c r="X97" s="23">
        <f t="shared" si="22"/>
        <v>9.2</v>
      </c>
      <c r="Y97" s="23">
        <f t="shared" si="22"/>
        <v>25.5</v>
      </c>
      <c r="Z97" s="23">
        <f>Z19+Z28+Z65+Z35+Z43+Z56</f>
        <v>-0.8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1809.3999999999999</v>
      </c>
      <c r="AE97" s="28">
        <f>B97+C97-AD97</f>
        <v>1993.1000000000001</v>
      </c>
    </row>
    <row r="98" spans="1:31" ht="15.75">
      <c r="A98" s="3" t="s">
        <v>17</v>
      </c>
      <c r="B98" s="23">
        <f aca="true" t="shared" si="23" ref="B98:AB98">B21+B30+B49+B37+B58+B13</f>
        <v>1243.2</v>
      </c>
      <c r="C98" s="23">
        <f t="shared" si="23"/>
        <v>3367.3</v>
      </c>
      <c r="D98" s="23">
        <f t="shared" si="23"/>
        <v>0</v>
      </c>
      <c r="E98" s="23">
        <f t="shared" si="23"/>
        <v>367.2</v>
      </c>
      <c r="F98" s="23">
        <f t="shared" si="23"/>
        <v>0</v>
      </c>
      <c r="G98" s="23">
        <f t="shared" si="23"/>
        <v>0</v>
      </c>
      <c r="H98" s="23">
        <f t="shared" si="23"/>
        <v>39.8</v>
      </c>
      <c r="I98" s="23">
        <f t="shared" si="23"/>
        <v>0</v>
      </c>
      <c r="J98" s="23">
        <f t="shared" si="23"/>
        <v>119.7</v>
      </c>
      <c r="K98" s="23">
        <f t="shared" si="23"/>
        <v>41.2</v>
      </c>
      <c r="L98" s="23">
        <f t="shared" si="23"/>
        <v>0</v>
      </c>
      <c r="M98" s="23">
        <f t="shared" si="23"/>
        <v>9.9</v>
      </c>
      <c r="N98" s="23">
        <f t="shared" si="23"/>
        <v>75.7</v>
      </c>
      <c r="O98" s="23">
        <f t="shared" si="23"/>
        <v>0</v>
      </c>
      <c r="P98" s="23">
        <f t="shared" si="23"/>
        <v>0</v>
      </c>
      <c r="Q98" s="23">
        <f t="shared" si="23"/>
        <v>308.5</v>
      </c>
      <c r="R98" s="23">
        <f t="shared" si="23"/>
        <v>0</v>
      </c>
      <c r="S98" s="23">
        <f t="shared" si="23"/>
        <v>188.60000000000002</v>
      </c>
      <c r="T98" s="23">
        <f t="shared" si="23"/>
        <v>0.3</v>
      </c>
      <c r="U98" s="23">
        <f t="shared" si="23"/>
        <v>4</v>
      </c>
      <c r="V98" s="23">
        <f t="shared" si="23"/>
        <v>7.9</v>
      </c>
      <c r="W98" s="23">
        <f t="shared" si="23"/>
        <v>241.8</v>
      </c>
      <c r="X98" s="23">
        <f t="shared" si="23"/>
        <v>129.4</v>
      </c>
      <c r="Y98" s="23">
        <f t="shared" si="23"/>
        <v>30.4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1564.4000000000003</v>
      </c>
      <c r="AE98" s="28">
        <f>B98+C98-AD98</f>
        <v>3046.0999999999995</v>
      </c>
    </row>
    <row r="99" spans="1:31" ht="12.75">
      <c r="A99" s="1" t="s">
        <v>47</v>
      </c>
      <c r="B99" s="2">
        <f aca="true" t="shared" si="24" ref="B99:AB99">B93-B94-B95-B96-B97-B98</f>
        <v>29846.8</v>
      </c>
      <c r="C99" s="2">
        <f t="shared" si="24"/>
        <v>9324.3</v>
      </c>
      <c r="D99" s="2">
        <f t="shared" si="24"/>
        <v>45.800000000000026</v>
      </c>
      <c r="E99" s="2">
        <f t="shared" si="24"/>
        <v>1183.6999999999996</v>
      </c>
      <c r="F99" s="2">
        <f t="shared" si="24"/>
        <v>1996.5999999999997</v>
      </c>
      <c r="G99" s="2">
        <f t="shared" si="24"/>
        <v>875.9000000000001</v>
      </c>
      <c r="H99" s="2">
        <f t="shared" si="24"/>
        <v>128.60000000000002</v>
      </c>
      <c r="I99" s="2">
        <f t="shared" si="24"/>
        <v>169.39999999999998</v>
      </c>
      <c r="J99" s="2">
        <f t="shared" si="24"/>
        <v>71.10000000000001</v>
      </c>
      <c r="K99" s="2">
        <f t="shared" si="24"/>
        <v>1176.8999999999999</v>
      </c>
      <c r="L99" s="2">
        <f t="shared" si="24"/>
        <v>228.39999999999927</v>
      </c>
      <c r="M99" s="2">
        <f t="shared" si="24"/>
        <v>233.29999999999976</v>
      </c>
      <c r="N99" s="2">
        <f t="shared" si="24"/>
        <v>53.199999999999974</v>
      </c>
      <c r="O99" s="2">
        <f t="shared" si="24"/>
        <v>444.9999999999999</v>
      </c>
      <c r="P99" s="2">
        <f t="shared" si="24"/>
        <v>183.49999999999997</v>
      </c>
      <c r="Q99" s="2">
        <f t="shared" si="24"/>
        <v>689.9000000000002</v>
      </c>
      <c r="R99" s="2">
        <f t="shared" si="24"/>
        <v>0</v>
      </c>
      <c r="S99" s="2">
        <f t="shared" si="24"/>
        <v>424.2000000000005</v>
      </c>
      <c r="T99" s="2">
        <f t="shared" si="24"/>
        <v>197.5999999999999</v>
      </c>
      <c r="U99" s="2">
        <f t="shared" si="24"/>
        <v>260.8999999999985</v>
      </c>
      <c r="V99" s="2">
        <f t="shared" si="24"/>
        <v>243.59999999999988</v>
      </c>
      <c r="W99" s="2">
        <f t="shared" si="24"/>
        <v>1210.100000000001</v>
      </c>
      <c r="X99" s="2">
        <f t="shared" si="24"/>
        <v>74.99999999999997</v>
      </c>
      <c r="Y99" s="2">
        <f t="shared" si="24"/>
        <v>720.1999999999999</v>
      </c>
      <c r="Z99" s="2">
        <f t="shared" si="24"/>
        <v>7.8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29407.300000000017</v>
      </c>
      <c r="AE99" s="2">
        <f>AE93-AE94-AE95-AE96-AE97-AE98</f>
        <v>9763.799999999988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P8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96" sqref="A96:IV9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71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24235.6</v>
      </c>
      <c r="C7" s="73">
        <v>7713.2</v>
      </c>
      <c r="D7" s="46"/>
      <c r="E7" s="47">
        <v>12117.8</v>
      </c>
      <c r="F7" s="47"/>
      <c r="G7" s="47"/>
      <c r="H7" s="75"/>
      <c r="I7" s="47"/>
      <c r="J7" s="48"/>
      <c r="K7" s="47">
        <v>12117.8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7284.9</v>
      </c>
      <c r="AD7" s="76"/>
      <c r="AE7" s="49"/>
    </row>
    <row r="8" spans="1:53" ht="18" customHeight="1">
      <c r="A8" s="61" t="s">
        <v>37</v>
      </c>
      <c r="B8" s="41">
        <f>SUM(D8:Z8)</f>
        <v>65453.00000000001</v>
      </c>
      <c r="C8" s="41">
        <v>83358.3</v>
      </c>
      <c r="D8" s="44">
        <v>2775.1</v>
      </c>
      <c r="E8" s="56">
        <v>1621.4</v>
      </c>
      <c r="F8" s="56">
        <v>2811</v>
      </c>
      <c r="G8" s="56">
        <v>2867.6</v>
      </c>
      <c r="H8" s="56">
        <v>3051.4</v>
      </c>
      <c r="I8" s="56">
        <v>5687.5</v>
      </c>
      <c r="J8" s="57">
        <v>1816</v>
      </c>
      <c r="K8" s="56">
        <v>1938.6</v>
      </c>
      <c r="L8" s="56">
        <v>1785.2</v>
      </c>
      <c r="M8" s="56">
        <v>2662.9</v>
      </c>
      <c r="N8" s="56">
        <v>3837.4</v>
      </c>
      <c r="O8" s="56">
        <v>3798.9</v>
      </c>
      <c r="P8" s="56">
        <v>3049.3</v>
      </c>
      <c r="Q8" s="56">
        <v>2891.4</v>
      </c>
      <c r="R8" s="56">
        <v>3394.9</v>
      </c>
      <c r="S8" s="58">
        <v>3194.6</v>
      </c>
      <c r="T8" s="58">
        <v>2121.5</v>
      </c>
      <c r="U8" s="56">
        <v>3641.1</v>
      </c>
      <c r="V8" s="57">
        <v>4177.3</v>
      </c>
      <c r="W8" s="57">
        <v>8329.9</v>
      </c>
      <c r="X8" s="57"/>
      <c r="Y8" s="57"/>
      <c r="Z8" s="56"/>
      <c r="AA8" s="24"/>
      <c r="AB8" s="24"/>
      <c r="AC8" s="62">
        <v>99738.8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78905.30000000002</v>
      </c>
      <c r="C9" s="25">
        <f t="shared" si="0"/>
        <v>27678.800000000003</v>
      </c>
      <c r="D9" s="25">
        <f t="shared" si="0"/>
        <v>3486.5999999999995</v>
      </c>
      <c r="E9" s="25">
        <f t="shared" si="0"/>
        <v>1048.6</v>
      </c>
      <c r="F9" s="25">
        <f t="shared" si="0"/>
        <v>5730.7</v>
      </c>
      <c r="G9" s="25">
        <f t="shared" si="0"/>
        <v>166.39999999999998</v>
      </c>
      <c r="H9" s="25">
        <f t="shared" si="0"/>
        <v>74.60000000000001</v>
      </c>
      <c r="I9" s="25">
        <f t="shared" si="0"/>
        <v>1380.6</v>
      </c>
      <c r="J9" s="25">
        <f t="shared" si="0"/>
        <v>12521.1</v>
      </c>
      <c r="K9" s="25">
        <f t="shared" si="0"/>
        <v>14728.2</v>
      </c>
      <c r="L9" s="25">
        <f t="shared" si="0"/>
        <v>566.4</v>
      </c>
      <c r="M9" s="25">
        <f t="shared" si="0"/>
        <v>2890.7000000000003</v>
      </c>
      <c r="N9" s="25">
        <f t="shared" si="0"/>
        <v>201.19999999999996</v>
      </c>
      <c r="O9" s="25">
        <f t="shared" si="0"/>
        <v>1310</v>
      </c>
      <c r="P9" s="25">
        <f t="shared" si="0"/>
        <v>113.30000000000001</v>
      </c>
      <c r="Q9" s="25">
        <f t="shared" si="0"/>
        <v>1038.8</v>
      </c>
      <c r="R9" s="25">
        <f t="shared" si="0"/>
        <v>785.7</v>
      </c>
      <c r="S9" s="25">
        <f t="shared" si="0"/>
        <v>1485.7</v>
      </c>
      <c r="T9" s="25">
        <f t="shared" si="0"/>
        <v>12627.000000000002</v>
      </c>
      <c r="U9" s="25">
        <f t="shared" si="0"/>
        <v>12489.8</v>
      </c>
      <c r="V9" s="25">
        <f t="shared" si="0"/>
        <v>208.8</v>
      </c>
      <c r="W9" s="25">
        <f t="shared" si="0"/>
        <v>254.3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73108.5</v>
      </c>
      <c r="AE9" s="51">
        <f>AE10+AE15+AE24+AE33+AE47+AE52+AE54+AE61+AE62+AE71+AE72+AE75+AE87+AE80+AE82+AE81+AE69+AE88+AE90+AE89+AE70+AE40+AE91</f>
        <v>33475.6</v>
      </c>
      <c r="AF9" s="50"/>
      <c r="AG9" s="50"/>
    </row>
    <row r="10" spans="1:31" ht="15.75">
      <c r="A10" s="4" t="s">
        <v>4</v>
      </c>
      <c r="B10" s="23">
        <f>3845.6+37+369.9</f>
        <v>4252.5</v>
      </c>
      <c r="C10" s="23">
        <v>1891</v>
      </c>
      <c r="D10" s="23">
        <v>181.2</v>
      </c>
      <c r="E10" s="23">
        <v>104.5</v>
      </c>
      <c r="F10" s="23">
        <v>116.1</v>
      </c>
      <c r="G10" s="23">
        <v>28.1</v>
      </c>
      <c r="H10" s="23">
        <v>45.5</v>
      </c>
      <c r="I10" s="23">
        <v>8.6</v>
      </c>
      <c r="J10" s="26">
        <v>854.5</v>
      </c>
      <c r="K10" s="23">
        <v>206.9</v>
      </c>
      <c r="L10" s="23">
        <v>164.5</v>
      </c>
      <c r="M10" s="23">
        <v>41.5</v>
      </c>
      <c r="N10" s="23">
        <v>8.6</v>
      </c>
      <c r="O10" s="28">
        <v>9.7</v>
      </c>
      <c r="P10" s="23">
        <v>28.6</v>
      </c>
      <c r="Q10" s="23">
        <v>17.2</v>
      </c>
      <c r="R10" s="23">
        <f>38.8-3</f>
        <v>35.8</v>
      </c>
      <c r="S10" s="27">
        <v>188.6</v>
      </c>
      <c r="T10" s="27">
        <v>1377.8</v>
      </c>
      <c r="U10" s="27">
        <v>500.9</v>
      </c>
      <c r="V10" s="23">
        <v>45.9</v>
      </c>
      <c r="W10" s="28">
        <v>16.5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3981</v>
      </c>
      <c r="AE10" s="28">
        <f>B10+C10-AD10</f>
        <v>2162.5</v>
      </c>
    </row>
    <row r="11" spans="1:31" ht="15.75">
      <c r="A11" s="3" t="s">
        <v>5</v>
      </c>
      <c r="B11" s="23">
        <f>3240.9+369.9</f>
        <v>3610.8</v>
      </c>
      <c r="C11" s="23">
        <v>332.7</v>
      </c>
      <c r="D11" s="23">
        <v>181.2</v>
      </c>
      <c r="E11" s="23">
        <v>29</v>
      </c>
      <c r="F11" s="23">
        <v>67.4</v>
      </c>
      <c r="G11" s="23"/>
      <c r="H11" s="23"/>
      <c r="I11" s="23"/>
      <c r="J11" s="27">
        <v>822.4</v>
      </c>
      <c r="K11" s="23">
        <v>187.6</v>
      </c>
      <c r="L11" s="23">
        <v>118.7</v>
      </c>
      <c r="M11" s="23">
        <v>2.5</v>
      </c>
      <c r="N11" s="23"/>
      <c r="O11" s="28">
        <v>5.8</v>
      </c>
      <c r="P11" s="23">
        <v>7.6</v>
      </c>
      <c r="Q11" s="23">
        <v>14</v>
      </c>
      <c r="R11" s="23"/>
      <c r="S11" s="27">
        <v>188.6</v>
      </c>
      <c r="T11" s="27">
        <v>1373.3</v>
      </c>
      <c r="U11" s="27">
        <v>482.7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3480.7999999999993</v>
      </c>
      <c r="AE11" s="28">
        <f>B11+C11-AD11</f>
        <v>462.7000000000007</v>
      </c>
    </row>
    <row r="12" spans="1:31" ht="15.75">
      <c r="A12" s="3" t="s">
        <v>2</v>
      </c>
      <c r="B12" s="37">
        <v>63.8</v>
      </c>
      <c r="C12" s="23">
        <v>388.3</v>
      </c>
      <c r="D12" s="23"/>
      <c r="E12" s="23">
        <v>8.3</v>
      </c>
      <c r="F12" s="23">
        <v>8.1</v>
      </c>
      <c r="G12" s="23">
        <v>3</v>
      </c>
      <c r="H12" s="23">
        <v>8</v>
      </c>
      <c r="I12" s="23"/>
      <c r="J12" s="27">
        <v>23.5</v>
      </c>
      <c r="K12" s="23">
        <v>5.5</v>
      </c>
      <c r="L12" s="23">
        <v>3.2</v>
      </c>
      <c r="M12" s="23"/>
      <c r="N12" s="23"/>
      <c r="O12" s="28">
        <v>0.6</v>
      </c>
      <c r="P12" s="23"/>
      <c r="Q12" s="23"/>
      <c r="R12" s="23"/>
      <c r="S12" s="27"/>
      <c r="T12" s="27"/>
      <c r="U12" s="27">
        <v>1.7</v>
      </c>
      <c r="V12" s="23">
        <v>18.5</v>
      </c>
      <c r="W12" s="27">
        <v>6.6</v>
      </c>
      <c r="X12" s="27"/>
      <c r="Y12" s="27"/>
      <c r="Z12" s="23"/>
      <c r="AA12" s="23"/>
      <c r="AB12" s="23"/>
      <c r="AC12" s="23"/>
      <c r="AD12" s="23">
        <f t="shared" si="1"/>
        <v>87</v>
      </c>
      <c r="AE12" s="28">
        <f>B12+C12-AD12</f>
        <v>365.1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577.8999999999999</v>
      </c>
      <c r="C14" s="23">
        <f t="shared" si="2"/>
        <v>1170</v>
      </c>
      <c r="D14" s="23">
        <f t="shared" si="2"/>
        <v>0</v>
      </c>
      <c r="E14" s="23">
        <f t="shared" si="2"/>
        <v>67.2</v>
      </c>
      <c r="F14" s="23">
        <f t="shared" si="2"/>
        <v>40.59999999999999</v>
      </c>
      <c r="G14" s="23">
        <f t="shared" si="2"/>
        <v>25.1</v>
      </c>
      <c r="H14" s="23">
        <f t="shared" si="2"/>
        <v>37.5</v>
      </c>
      <c r="I14" s="23">
        <f t="shared" si="2"/>
        <v>8.6</v>
      </c>
      <c r="J14" s="23">
        <f t="shared" si="2"/>
        <v>8.600000000000023</v>
      </c>
      <c r="K14" s="23">
        <f t="shared" si="2"/>
        <v>13.800000000000011</v>
      </c>
      <c r="L14" s="23">
        <f t="shared" si="2"/>
        <v>42.599999999999994</v>
      </c>
      <c r="M14" s="23">
        <f t="shared" si="2"/>
        <v>39</v>
      </c>
      <c r="N14" s="23">
        <f t="shared" si="2"/>
        <v>8.6</v>
      </c>
      <c r="O14" s="23">
        <f t="shared" si="2"/>
        <v>3.2999999999999994</v>
      </c>
      <c r="P14" s="23">
        <f t="shared" si="2"/>
        <v>21</v>
      </c>
      <c r="Q14" s="23">
        <f t="shared" si="2"/>
        <v>3.1999999999999993</v>
      </c>
      <c r="R14" s="23">
        <f t="shared" si="2"/>
        <v>35.8</v>
      </c>
      <c r="S14" s="23">
        <f t="shared" si="2"/>
        <v>0</v>
      </c>
      <c r="T14" s="23">
        <f t="shared" si="2"/>
        <v>4.5</v>
      </c>
      <c r="U14" s="23">
        <f t="shared" si="2"/>
        <v>16.49999999999999</v>
      </c>
      <c r="V14" s="23">
        <f t="shared" si="2"/>
        <v>27.4</v>
      </c>
      <c r="W14" s="23">
        <f t="shared" si="2"/>
        <v>9.9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413.2</v>
      </c>
      <c r="AE14" s="28">
        <f>AE10-AE11-AE12-AE13</f>
        <v>1334.6999999999994</v>
      </c>
    </row>
    <row r="15" spans="1:31" ht="15" customHeight="1">
      <c r="A15" s="4" t="s">
        <v>6</v>
      </c>
      <c r="B15" s="23">
        <f>13612.8+3758.4</f>
        <v>17371.2</v>
      </c>
      <c r="C15" s="23">
        <v>11309.2</v>
      </c>
      <c r="D15" s="45">
        <v>0.8</v>
      </c>
      <c r="E15" s="45"/>
      <c r="F15" s="23">
        <v>302.5</v>
      </c>
      <c r="G15" s="23">
        <v>0.1</v>
      </c>
      <c r="H15" s="23">
        <v>6.9</v>
      </c>
      <c r="I15" s="23">
        <v>205.8</v>
      </c>
      <c r="J15" s="27">
        <v>4708.8</v>
      </c>
      <c r="K15" s="23">
        <v>28</v>
      </c>
      <c r="L15" s="23">
        <v>186.5</v>
      </c>
      <c r="M15" s="23">
        <v>91.3</v>
      </c>
      <c r="N15" s="23">
        <f>37.6+31.1</f>
        <v>68.7</v>
      </c>
      <c r="O15" s="28">
        <v>229.9</v>
      </c>
      <c r="P15" s="23"/>
      <c r="Q15" s="28">
        <v>136.9</v>
      </c>
      <c r="R15" s="23"/>
      <c r="S15" s="27">
        <v>107.3</v>
      </c>
      <c r="T15" s="27">
        <v>10892.1</v>
      </c>
      <c r="U15" s="27">
        <v>58.1</v>
      </c>
      <c r="V15" s="23">
        <v>72.9</v>
      </c>
      <c r="W15" s="27">
        <v>3.5</v>
      </c>
      <c r="X15" s="27"/>
      <c r="Y15" s="27"/>
      <c r="Z15" s="23"/>
      <c r="AA15" s="23"/>
      <c r="AB15" s="23"/>
      <c r="AC15" s="23"/>
      <c r="AD15" s="28">
        <f t="shared" si="1"/>
        <v>17100.1</v>
      </c>
      <c r="AE15" s="28">
        <f aca="true" t="shared" si="3" ref="AE15:AE31">B15+C15-AD15</f>
        <v>11580.300000000003</v>
      </c>
    </row>
    <row r="16" spans="1:31" s="71" customFormat="1" ht="15" customHeight="1">
      <c r="A16" s="66" t="s">
        <v>55</v>
      </c>
      <c r="B16" s="67">
        <v>6496.6</v>
      </c>
      <c r="C16" s="67">
        <v>6668.1</v>
      </c>
      <c r="D16" s="68">
        <v>0.8</v>
      </c>
      <c r="E16" s="68"/>
      <c r="F16" s="67">
        <v>21.7</v>
      </c>
      <c r="G16" s="67">
        <v>0.1</v>
      </c>
      <c r="H16" s="67"/>
      <c r="I16" s="67">
        <v>13.9</v>
      </c>
      <c r="J16" s="69">
        <v>2531.3</v>
      </c>
      <c r="K16" s="67"/>
      <c r="L16" s="67"/>
      <c r="M16" s="67"/>
      <c r="N16" s="67">
        <v>31.1</v>
      </c>
      <c r="O16" s="70">
        <v>7.2</v>
      </c>
      <c r="P16" s="67"/>
      <c r="Q16" s="70">
        <v>41.1</v>
      </c>
      <c r="R16" s="67"/>
      <c r="S16" s="69">
        <v>58.4</v>
      </c>
      <c r="T16" s="69">
        <v>4404.6</v>
      </c>
      <c r="U16" s="69">
        <v>21.7</v>
      </c>
      <c r="V16" s="67">
        <v>3.1</v>
      </c>
      <c r="W16" s="69"/>
      <c r="X16" s="69"/>
      <c r="Y16" s="69"/>
      <c r="Z16" s="67"/>
      <c r="AA16" s="67"/>
      <c r="AB16" s="67"/>
      <c r="AC16" s="67"/>
      <c r="AD16" s="72">
        <f t="shared" si="1"/>
        <v>7135.000000000001</v>
      </c>
      <c r="AE16" s="72">
        <f t="shared" si="3"/>
        <v>6029.7</v>
      </c>
    </row>
    <row r="17" spans="1:32" ht="15.75">
      <c r="A17" s="3" t="s">
        <v>5</v>
      </c>
      <c r="B17" s="23">
        <f>11838.5+3751.1</f>
        <v>15589.6</v>
      </c>
      <c r="C17" s="23">
        <v>1728.7</v>
      </c>
      <c r="D17" s="23"/>
      <c r="E17" s="23"/>
      <c r="F17" s="23">
        <v>49.5</v>
      </c>
      <c r="G17" s="23"/>
      <c r="H17" s="23"/>
      <c r="I17" s="23"/>
      <c r="J17" s="27">
        <v>4708.2</v>
      </c>
      <c r="K17" s="23">
        <v>28</v>
      </c>
      <c r="L17" s="23"/>
      <c r="M17" s="23"/>
      <c r="N17" s="23"/>
      <c r="O17" s="28"/>
      <c r="P17" s="23"/>
      <c r="Q17" s="28"/>
      <c r="R17" s="23"/>
      <c r="S17" s="27"/>
      <c r="T17" s="27">
        <v>10889.4</v>
      </c>
      <c r="U17" s="27"/>
      <c r="V17" s="23">
        <v>10.8</v>
      </c>
      <c r="W17" s="27"/>
      <c r="X17" s="27"/>
      <c r="Y17" s="27"/>
      <c r="Z17" s="23"/>
      <c r="AA17" s="23"/>
      <c r="AB17" s="23"/>
      <c r="AC17" s="23"/>
      <c r="AD17" s="28">
        <f t="shared" si="1"/>
        <v>15685.899999999998</v>
      </c>
      <c r="AE17" s="28">
        <f t="shared" si="3"/>
        <v>1632.4000000000015</v>
      </c>
      <c r="AF17" s="6"/>
    </row>
    <row r="18" spans="1:31" ht="15.75">
      <c r="A18" s="3" t="s">
        <v>3</v>
      </c>
      <c r="B18" s="23">
        <v>0</v>
      </c>
      <c r="C18" s="23">
        <v>16.2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0.3</v>
      </c>
      <c r="P18" s="23"/>
      <c r="Q18" s="28">
        <v>0.4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0.7</v>
      </c>
      <c r="AE18" s="28">
        <f t="shared" si="3"/>
        <v>15.5</v>
      </c>
    </row>
    <row r="19" spans="1:31" ht="15.75">
      <c r="A19" s="3" t="s">
        <v>1</v>
      </c>
      <c r="B19" s="23">
        <v>837.2</v>
      </c>
      <c r="C19" s="23">
        <v>1934.7</v>
      </c>
      <c r="D19" s="23">
        <v>0.8</v>
      </c>
      <c r="E19" s="23"/>
      <c r="F19" s="23">
        <v>204.7</v>
      </c>
      <c r="G19" s="23"/>
      <c r="H19" s="23">
        <v>6.9</v>
      </c>
      <c r="I19" s="23">
        <v>91.1</v>
      </c>
      <c r="J19" s="27"/>
      <c r="K19" s="23"/>
      <c r="L19" s="23">
        <v>186.5</v>
      </c>
      <c r="M19" s="23">
        <v>91.3</v>
      </c>
      <c r="N19" s="23">
        <v>37.6</v>
      </c>
      <c r="O19" s="28"/>
      <c r="P19" s="23"/>
      <c r="Q19" s="28"/>
      <c r="R19" s="23"/>
      <c r="S19" s="27">
        <v>4.8</v>
      </c>
      <c r="T19" s="27"/>
      <c r="U19" s="27">
        <v>2.7</v>
      </c>
      <c r="V19" s="23">
        <v>32.5</v>
      </c>
      <c r="W19" s="27"/>
      <c r="X19" s="27"/>
      <c r="Y19" s="27"/>
      <c r="Z19" s="23"/>
      <c r="AA19" s="23"/>
      <c r="AB19" s="23"/>
      <c r="AC19" s="23"/>
      <c r="AD19" s="28">
        <f t="shared" si="1"/>
        <v>658.9</v>
      </c>
      <c r="AE19" s="28">
        <f t="shared" si="3"/>
        <v>2113</v>
      </c>
    </row>
    <row r="20" spans="1:31" ht="15.75">
      <c r="A20" s="3" t="s">
        <v>2</v>
      </c>
      <c r="B20" s="23">
        <v>648</v>
      </c>
      <c r="C20" s="23">
        <v>6631.9</v>
      </c>
      <c r="D20" s="23"/>
      <c r="E20" s="23"/>
      <c r="F20" s="23">
        <v>10.3</v>
      </c>
      <c r="G20" s="23"/>
      <c r="H20" s="23"/>
      <c r="I20" s="23">
        <v>74.7</v>
      </c>
      <c r="J20" s="27"/>
      <c r="K20" s="23"/>
      <c r="L20" s="23"/>
      <c r="M20" s="23"/>
      <c r="N20" s="23">
        <v>4.3</v>
      </c>
      <c r="O20" s="28">
        <v>195</v>
      </c>
      <c r="P20" s="23"/>
      <c r="Q20" s="28">
        <v>18.1</v>
      </c>
      <c r="R20" s="23"/>
      <c r="S20" s="27">
        <v>18.2</v>
      </c>
      <c r="T20" s="27">
        <v>1.2</v>
      </c>
      <c r="U20" s="27">
        <v>4.7</v>
      </c>
      <c r="V20" s="23">
        <v>24.3</v>
      </c>
      <c r="W20" s="27"/>
      <c r="X20" s="27"/>
      <c r="Y20" s="27"/>
      <c r="Z20" s="23"/>
      <c r="AA20" s="23"/>
      <c r="AB20" s="23"/>
      <c r="AC20" s="23"/>
      <c r="AD20" s="28">
        <f t="shared" si="1"/>
        <v>350.8</v>
      </c>
      <c r="AE20" s="28">
        <f t="shared" si="3"/>
        <v>6929.099999999999</v>
      </c>
    </row>
    <row r="21" spans="1:31" ht="15.75">
      <c r="A21" s="3" t="s">
        <v>17</v>
      </c>
      <c r="B21" s="23">
        <v>1.2</v>
      </c>
      <c r="C21" s="23">
        <v>61</v>
      </c>
      <c r="D21" s="23"/>
      <c r="E21" s="23"/>
      <c r="F21" s="23">
        <v>1.2</v>
      </c>
      <c r="G21" s="23"/>
      <c r="H21" s="23"/>
      <c r="I21" s="23"/>
      <c r="J21" s="27"/>
      <c r="K21" s="23"/>
      <c r="L21" s="23"/>
      <c r="M21" s="23"/>
      <c r="N21" s="23"/>
      <c r="O21" s="28">
        <v>9.1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10.299999999999999</v>
      </c>
      <c r="AE21" s="28">
        <f t="shared" si="3"/>
        <v>51.900000000000006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295.20000000000033</v>
      </c>
      <c r="C23" s="23">
        <f t="shared" si="4"/>
        <v>936.6999999999998</v>
      </c>
      <c r="D23" s="23">
        <f t="shared" si="4"/>
        <v>0</v>
      </c>
      <c r="E23" s="23">
        <f t="shared" si="4"/>
        <v>0</v>
      </c>
      <c r="F23" s="23">
        <f t="shared" si="4"/>
        <v>36.80000000000001</v>
      </c>
      <c r="G23" s="23">
        <f t="shared" si="4"/>
        <v>0.1</v>
      </c>
      <c r="H23" s="23">
        <f t="shared" si="4"/>
        <v>0</v>
      </c>
      <c r="I23" s="23">
        <f t="shared" si="4"/>
        <v>40.000000000000014</v>
      </c>
      <c r="J23" s="23">
        <f t="shared" si="4"/>
        <v>0.6000000000003638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26.8</v>
      </c>
      <c r="O23" s="23">
        <f t="shared" si="4"/>
        <v>25.499999999999993</v>
      </c>
      <c r="P23" s="23">
        <f t="shared" si="4"/>
        <v>0</v>
      </c>
      <c r="Q23" s="23">
        <f t="shared" si="4"/>
        <v>118.4</v>
      </c>
      <c r="R23" s="23">
        <f t="shared" si="4"/>
        <v>0</v>
      </c>
      <c r="S23" s="23">
        <f t="shared" si="4"/>
        <v>84.3</v>
      </c>
      <c r="T23" s="23">
        <f t="shared" si="4"/>
        <v>1.5000000000007276</v>
      </c>
      <c r="U23" s="23">
        <f t="shared" si="4"/>
        <v>50.699999999999996</v>
      </c>
      <c r="V23" s="23">
        <f t="shared" si="4"/>
        <v>5.300000000000008</v>
      </c>
      <c r="W23" s="23">
        <f t="shared" si="4"/>
        <v>3.5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393.50000000000114</v>
      </c>
      <c r="AE23" s="28">
        <f t="shared" si="3"/>
        <v>838.399999999999</v>
      </c>
    </row>
    <row r="24" spans="1:31" ht="15" customHeight="1">
      <c r="A24" s="4" t="s">
        <v>7</v>
      </c>
      <c r="B24" s="23">
        <f>18088.6+5992.3</f>
        <v>24080.899999999998</v>
      </c>
      <c r="C24" s="23">
        <v>3284.7</v>
      </c>
      <c r="D24" s="23">
        <v>4.2</v>
      </c>
      <c r="E24" s="23">
        <v>53.2</v>
      </c>
      <c r="F24" s="23">
        <v>5089.7</v>
      </c>
      <c r="G24" s="23"/>
      <c r="H24" s="23">
        <v>13.1</v>
      </c>
      <c r="I24" s="23">
        <v>510.3</v>
      </c>
      <c r="J24" s="27">
        <v>5353.8</v>
      </c>
      <c r="K24" s="23">
        <v>566.2</v>
      </c>
      <c r="L24" s="23"/>
      <c r="M24" s="23">
        <v>417.2</v>
      </c>
      <c r="N24" s="23"/>
      <c r="O24" s="28">
        <v>282.7</v>
      </c>
      <c r="P24" s="23">
        <v>1.8</v>
      </c>
      <c r="Q24" s="28">
        <v>1.3</v>
      </c>
      <c r="R24" s="28"/>
      <c r="S24" s="27"/>
      <c r="T24" s="27"/>
      <c r="U24" s="27">
        <v>11262.9</v>
      </c>
      <c r="V24" s="23"/>
      <c r="W24" s="27">
        <v>191.3</v>
      </c>
      <c r="X24" s="27"/>
      <c r="Y24" s="27"/>
      <c r="Z24" s="23"/>
      <c r="AA24" s="23"/>
      <c r="AB24" s="23"/>
      <c r="AC24" s="23"/>
      <c r="AD24" s="28">
        <f t="shared" si="1"/>
        <v>23747.7</v>
      </c>
      <c r="AE24" s="28">
        <f t="shared" si="3"/>
        <v>3617.899999999998</v>
      </c>
    </row>
    <row r="25" spans="1:31" s="71" customFormat="1" ht="15" customHeight="1">
      <c r="A25" s="66" t="s">
        <v>56</v>
      </c>
      <c r="B25" s="67">
        <v>17739</v>
      </c>
      <c r="C25" s="67">
        <v>1045.1</v>
      </c>
      <c r="D25" s="67">
        <v>4.2</v>
      </c>
      <c r="E25" s="67">
        <v>53.2</v>
      </c>
      <c r="F25" s="67">
        <v>2126.2</v>
      </c>
      <c r="G25" s="67"/>
      <c r="H25" s="67"/>
      <c r="I25" s="67">
        <v>488.7</v>
      </c>
      <c r="J25" s="69">
        <v>5353.8</v>
      </c>
      <c r="K25" s="67">
        <v>566.2</v>
      </c>
      <c r="L25" s="67"/>
      <c r="M25" s="67">
        <v>387</v>
      </c>
      <c r="N25" s="67"/>
      <c r="O25" s="70">
        <v>183</v>
      </c>
      <c r="P25" s="67"/>
      <c r="Q25" s="70"/>
      <c r="R25" s="70"/>
      <c r="S25" s="69"/>
      <c r="T25" s="69"/>
      <c r="U25" s="69">
        <v>8179.9</v>
      </c>
      <c r="V25" s="67"/>
      <c r="W25" s="69">
        <v>186.7</v>
      </c>
      <c r="X25" s="69"/>
      <c r="Y25" s="69"/>
      <c r="Z25" s="67"/>
      <c r="AA25" s="67"/>
      <c r="AB25" s="67"/>
      <c r="AC25" s="67"/>
      <c r="AD25" s="72">
        <f t="shared" si="1"/>
        <v>17528.9</v>
      </c>
      <c r="AE25" s="72">
        <f t="shared" si="3"/>
        <v>1255.199999999997</v>
      </c>
    </row>
    <row r="26" spans="1:32" ht="15.75">
      <c r="A26" s="3" t="s">
        <v>5</v>
      </c>
      <c r="B26" s="23">
        <f>14277.7+7175</f>
        <v>21452.7</v>
      </c>
      <c r="C26" s="23">
        <v>20.7</v>
      </c>
      <c r="D26" s="23"/>
      <c r="E26" s="23"/>
      <c r="F26" s="23">
        <v>5089.2</v>
      </c>
      <c r="G26" s="23"/>
      <c r="H26" s="23"/>
      <c r="I26" s="23"/>
      <c r="J26" s="27">
        <v>5184.9</v>
      </c>
      <c r="K26" s="23">
        <v>428</v>
      </c>
      <c r="L26" s="23"/>
      <c r="M26" s="23">
        <v>8.5</v>
      </c>
      <c r="N26" s="23"/>
      <c r="O26" s="28"/>
      <c r="P26" s="23"/>
      <c r="Q26" s="28"/>
      <c r="R26" s="23"/>
      <c r="S26" s="27"/>
      <c r="T26" s="27"/>
      <c r="U26" s="27">
        <v>10175.1</v>
      </c>
      <c r="V26" s="23"/>
      <c r="W26" s="27">
        <v>4.6</v>
      </c>
      <c r="X26" s="27"/>
      <c r="Y26" s="27"/>
      <c r="Z26" s="23"/>
      <c r="AA26" s="23"/>
      <c r="AB26" s="23"/>
      <c r="AC26" s="23"/>
      <c r="AD26" s="28">
        <f t="shared" si="1"/>
        <v>20890.299999999996</v>
      </c>
      <c r="AE26" s="28">
        <f t="shared" si="3"/>
        <v>583.1000000000058</v>
      </c>
      <c r="AF26" s="6"/>
    </row>
    <row r="27" spans="1:31" ht="15.75">
      <c r="A27" s="3" t="s">
        <v>3</v>
      </c>
      <c r="B27" s="23">
        <f>1003+143.1+81</f>
        <v>1227.1</v>
      </c>
      <c r="C27" s="23">
        <v>1920.8</v>
      </c>
      <c r="D27" s="23">
        <v>4.2</v>
      </c>
      <c r="E27" s="23">
        <v>5.4</v>
      </c>
      <c r="F27" s="23">
        <v>0.5</v>
      </c>
      <c r="G27" s="23"/>
      <c r="H27" s="23"/>
      <c r="I27" s="23">
        <v>219.1</v>
      </c>
      <c r="J27" s="27">
        <v>48</v>
      </c>
      <c r="K27" s="23"/>
      <c r="L27" s="23"/>
      <c r="M27" s="23">
        <v>346.4</v>
      </c>
      <c r="N27" s="23"/>
      <c r="O27" s="28">
        <v>68.2</v>
      </c>
      <c r="P27" s="23"/>
      <c r="Q27" s="28"/>
      <c r="R27" s="23"/>
      <c r="S27" s="27"/>
      <c r="T27" s="27"/>
      <c r="U27" s="27">
        <v>462.1</v>
      </c>
      <c r="V27" s="23"/>
      <c r="W27" s="27">
        <v>183.9</v>
      </c>
      <c r="X27" s="27"/>
      <c r="Y27" s="27"/>
      <c r="Z27" s="23"/>
      <c r="AA27" s="23"/>
      <c r="AB27" s="23"/>
      <c r="AC27" s="23"/>
      <c r="AD27" s="28">
        <f t="shared" si="1"/>
        <v>1337.8000000000002</v>
      </c>
      <c r="AE27" s="28">
        <f t="shared" si="3"/>
        <v>1810.0999999999995</v>
      </c>
    </row>
    <row r="28" spans="1:31" ht="15.75">
      <c r="A28" s="3" t="s">
        <v>1</v>
      </c>
      <c r="B28" s="23">
        <f>262+39.9</f>
        <v>301.9</v>
      </c>
      <c r="C28" s="23">
        <v>13</v>
      </c>
      <c r="D28" s="23"/>
      <c r="E28" s="23">
        <v>10.9</v>
      </c>
      <c r="F28" s="23"/>
      <c r="G28" s="23"/>
      <c r="H28" s="23"/>
      <c r="I28" s="23">
        <v>19.7</v>
      </c>
      <c r="J28" s="27">
        <v>48.1</v>
      </c>
      <c r="K28" s="23">
        <v>4</v>
      </c>
      <c r="L28" s="23"/>
      <c r="M28" s="23">
        <v>8.7</v>
      </c>
      <c r="N28" s="23"/>
      <c r="O28" s="28">
        <v>43.6</v>
      </c>
      <c r="P28" s="23"/>
      <c r="Q28" s="28"/>
      <c r="R28" s="23"/>
      <c r="S28" s="27"/>
      <c r="T28" s="27"/>
      <c r="U28" s="27">
        <v>162.2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297.2</v>
      </c>
      <c r="AE28" s="28">
        <f t="shared" si="3"/>
        <v>17.69999999999999</v>
      </c>
    </row>
    <row r="29" spans="1:31" ht="15.75">
      <c r="A29" s="3" t="s">
        <v>2</v>
      </c>
      <c r="B29" s="23">
        <f>827.6+48.8-95</f>
        <v>781.4</v>
      </c>
      <c r="C29" s="23">
        <v>225.8</v>
      </c>
      <c r="D29" s="23"/>
      <c r="E29" s="23">
        <v>1.9</v>
      </c>
      <c r="F29" s="23"/>
      <c r="G29" s="23"/>
      <c r="H29" s="23"/>
      <c r="I29" s="23">
        <v>162.9</v>
      </c>
      <c r="J29" s="27">
        <v>23.4</v>
      </c>
      <c r="K29" s="23">
        <v>13.1</v>
      </c>
      <c r="L29" s="23"/>
      <c r="M29" s="23">
        <v>13.4</v>
      </c>
      <c r="N29" s="23"/>
      <c r="O29" s="28">
        <v>112.5</v>
      </c>
      <c r="P29" s="23"/>
      <c r="Q29" s="28"/>
      <c r="R29" s="23"/>
      <c r="S29" s="27"/>
      <c r="T29" s="27"/>
      <c r="U29" s="27">
        <v>336.9</v>
      </c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664.1</v>
      </c>
      <c r="AE29" s="28">
        <f t="shared" si="3"/>
        <v>343.1</v>
      </c>
    </row>
    <row r="30" spans="1:31" ht="15.75">
      <c r="A30" s="3" t="s">
        <v>17</v>
      </c>
      <c r="B30" s="23">
        <v>124.4</v>
      </c>
      <c r="C30" s="23">
        <v>5.2</v>
      </c>
      <c r="D30" s="23"/>
      <c r="E30" s="23"/>
      <c r="F30" s="23"/>
      <c r="G30" s="23"/>
      <c r="H30" s="23"/>
      <c r="I30" s="23"/>
      <c r="J30" s="27"/>
      <c r="K30" s="23">
        <v>78.8</v>
      </c>
      <c r="L30" s="23"/>
      <c r="M30" s="23">
        <v>27.8</v>
      </c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106.6</v>
      </c>
      <c r="AE30" s="28">
        <f t="shared" si="3"/>
        <v>23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193.3999999999971</v>
      </c>
      <c r="C32" s="23">
        <f t="shared" si="5"/>
        <v>1099.2</v>
      </c>
      <c r="D32" s="23">
        <f t="shared" si="5"/>
        <v>0</v>
      </c>
      <c r="E32" s="23">
        <f t="shared" si="5"/>
        <v>35.00000000000001</v>
      </c>
      <c r="F32" s="23">
        <f t="shared" si="5"/>
        <v>0</v>
      </c>
      <c r="G32" s="23">
        <f t="shared" si="5"/>
        <v>0</v>
      </c>
      <c r="H32" s="23">
        <f t="shared" si="5"/>
        <v>13.1</v>
      </c>
      <c r="I32" s="23">
        <f t="shared" si="5"/>
        <v>108.60000000000005</v>
      </c>
      <c r="J32" s="23">
        <f t="shared" si="5"/>
        <v>49.40000000000055</v>
      </c>
      <c r="K32" s="23">
        <f t="shared" si="5"/>
        <v>42.300000000000054</v>
      </c>
      <c r="L32" s="23">
        <f t="shared" si="5"/>
        <v>0</v>
      </c>
      <c r="M32" s="23">
        <f t="shared" si="5"/>
        <v>12.40000000000001</v>
      </c>
      <c r="N32" s="23">
        <f t="shared" si="5"/>
        <v>0</v>
      </c>
      <c r="O32" s="23">
        <f t="shared" si="5"/>
        <v>58.400000000000006</v>
      </c>
      <c r="P32" s="23">
        <f t="shared" si="5"/>
        <v>1.8</v>
      </c>
      <c r="Q32" s="23">
        <f t="shared" si="5"/>
        <v>1.3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126.59999999999928</v>
      </c>
      <c r="V32" s="23">
        <f t="shared" si="5"/>
        <v>0</v>
      </c>
      <c r="W32" s="23">
        <f t="shared" si="5"/>
        <v>2.8000000000000114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451.70000000000005</v>
      </c>
      <c r="AE32" s="28">
        <f>AE24-AE26-AE27-AE28-AE29-AE30-AE31</f>
        <v>840.8999999999925</v>
      </c>
    </row>
    <row r="33" spans="1:31" ht="15" customHeight="1">
      <c r="A33" s="4" t="s">
        <v>8</v>
      </c>
      <c r="B33" s="23">
        <f>228+1.8+50</f>
        <v>279.8</v>
      </c>
      <c r="C33" s="23">
        <f>1490.7-50</f>
        <v>1440.7</v>
      </c>
      <c r="D33" s="23"/>
      <c r="E33" s="23"/>
      <c r="F33" s="23"/>
      <c r="G33" s="23"/>
      <c r="H33" s="23"/>
      <c r="I33" s="23"/>
      <c r="J33" s="27">
        <v>50.3</v>
      </c>
      <c r="K33" s="23"/>
      <c r="L33" s="23">
        <v>170.3</v>
      </c>
      <c r="M33" s="23">
        <v>51.7</v>
      </c>
      <c r="N33" s="23"/>
      <c r="O33" s="28"/>
      <c r="P33" s="23">
        <v>1.1</v>
      </c>
      <c r="Q33" s="28">
        <v>3.7</v>
      </c>
      <c r="R33" s="23">
        <v>105.6</v>
      </c>
      <c r="S33" s="27">
        <v>0.1</v>
      </c>
      <c r="T33" s="27"/>
      <c r="U33" s="27">
        <v>80.3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463.1000000000001</v>
      </c>
      <c r="AE33" s="28">
        <f aca="true" t="shared" si="6" ref="AE33:AE38">B33+C33-AD33</f>
        <v>1257.3999999999999</v>
      </c>
    </row>
    <row r="34" spans="1:31" ht="15.75">
      <c r="A34" s="3" t="s">
        <v>5</v>
      </c>
      <c r="B34" s="23">
        <f>118.3+41</f>
        <v>159.3</v>
      </c>
      <c r="C34" s="23">
        <v>20.5</v>
      </c>
      <c r="D34" s="23"/>
      <c r="E34" s="23"/>
      <c r="F34" s="23"/>
      <c r="G34" s="23"/>
      <c r="H34" s="23"/>
      <c r="I34" s="23"/>
      <c r="J34" s="27">
        <v>50.3</v>
      </c>
      <c r="K34" s="23"/>
      <c r="L34" s="23"/>
      <c r="M34" s="23"/>
      <c r="N34" s="23"/>
      <c r="O34" s="23"/>
      <c r="P34" s="23"/>
      <c r="Q34" s="28"/>
      <c r="R34" s="23">
        <v>105.6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155.89999999999998</v>
      </c>
      <c r="AE34" s="28">
        <f t="shared" si="6"/>
        <v>23.900000000000034</v>
      </c>
    </row>
    <row r="35" spans="1:31" ht="15.75">
      <c r="A35" s="3" t="s">
        <v>1</v>
      </c>
      <c r="B35" s="23">
        <v>98.8</v>
      </c>
      <c r="C35" s="23">
        <v>17.5</v>
      </c>
      <c r="D35" s="23"/>
      <c r="E35" s="23"/>
      <c r="F35" s="23"/>
      <c r="G35" s="23"/>
      <c r="H35" s="23"/>
      <c r="I35" s="23"/>
      <c r="J35" s="27"/>
      <c r="K35" s="23"/>
      <c r="L35" s="23"/>
      <c r="M35" s="23">
        <v>51.7</v>
      </c>
      <c r="N35" s="23"/>
      <c r="O35" s="23"/>
      <c r="P35" s="23"/>
      <c r="Q35" s="28"/>
      <c r="R35" s="23"/>
      <c r="S35" s="27"/>
      <c r="T35" s="27"/>
      <c r="U35" s="23">
        <v>60.3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112</v>
      </c>
      <c r="AE35" s="28">
        <f t="shared" si="6"/>
        <v>4.299999999999997</v>
      </c>
    </row>
    <row r="36" spans="1:31" ht="15.75">
      <c r="A36" s="3" t="s">
        <v>2</v>
      </c>
      <c r="B36" s="45">
        <v>4.2</v>
      </c>
      <c r="C36" s="23">
        <v>46.5</v>
      </c>
      <c r="D36" s="23"/>
      <c r="E36" s="23"/>
      <c r="F36" s="23"/>
      <c r="G36" s="23"/>
      <c r="H36" s="23"/>
      <c r="I36" s="23"/>
      <c r="J36" s="27"/>
      <c r="K36" s="23"/>
      <c r="L36" s="23">
        <v>0.3</v>
      </c>
      <c r="M36" s="23"/>
      <c r="N36" s="23"/>
      <c r="O36" s="28"/>
      <c r="P36" s="23">
        <v>1</v>
      </c>
      <c r="Q36" s="28"/>
      <c r="R36" s="23"/>
      <c r="S36" s="27">
        <v>0.1</v>
      </c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1.4000000000000001</v>
      </c>
      <c r="AE36" s="28">
        <f t="shared" si="6"/>
        <v>49.300000000000004</v>
      </c>
    </row>
    <row r="37" spans="1:31" ht="15.75">
      <c r="A37" s="3" t="s">
        <v>17</v>
      </c>
      <c r="B37" s="23">
        <v>0</v>
      </c>
      <c r="C37" s="23">
        <f>1323.8-39.2</f>
        <v>1284.6</v>
      </c>
      <c r="D37" s="23"/>
      <c r="E37" s="23"/>
      <c r="F37" s="23"/>
      <c r="G37" s="23"/>
      <c r="H37" s="23"/>
      <c r="I37" s="23"/>
      <c r="J37" s="27"/>
      <c r="K37" s="23"/>
      <c r="L37" s="23">
        <v>168.2</v>
      </c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168.2</v>
      </c>
      <c r="AE37" s="28">
        <f t="shared" si="6"/>
        <v>1116.3999999999999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17.5</v>
      </c>
      <c r="C39" s="23">
        <f t="shared" si="7"/>
        <v>71.60000000000014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1.8000000000000114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0.10000000000000009</v>
      </c>
      <c r="Q39" s="23">
        <f t="shared" si="7"/>
        <v>3.7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20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25.600000000000012</v>
      </c>
      <c r="AE39" s="28">
        <f>AE33-AE34-AE36-AE38-AE35-AE37</f>
        <v>63.5</v>
      </c>
    </row>
    <row r="40" spans="1:31" ht="15" customHeight="1">
      <c r="A40" s="4" t="s">
        <v>34</v>
      </c>
      <c r="B40" s="23">
        <f>557+178</f>
        <v>735</v>
      </c>
      <c r="C40" s="23">
        <v>11.7</v>
      </c>
      <c r="D40" s="23"/>
      <c r="E40" s="23"/>
      <c r="F40" s="23"/>
      <c r="G40" s="23">
        <v>52.2</v>
      </c>
      <c r="H40" s="23"/>
      <c r="I40" s="23"/>
      <c r="J40" s="27">
        <v>128</v>
      </c>
      <c r="K40" s="23">
        <v>106.4</v>
      </c>
      <c r="L40" s="23"/>
      <c r="M40" s="23"/>
      <c r="N40" s="23"/>
      <c r="O40" s="28"/>
      <c r="P40" s="23">
        <v>2.5</v>
      </c>
      <c r="Q40" s="28">
        <v>2.2</v>
      </c>
      <c r="R40" s="28"/>
      <c r="S40" s="27"/>
      <c r="T40" s="27">
        <v>206.7</v>
      </c>
      <c r="U40" s="27">
        <v>137.5</v>
      </c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635.5</v>
      </c>
      <c r="AE40" s="28">
        <f aca="true" t="shared" si="8" ref="AE40:AE45">B40+C40-AD40</f>
        <v>111.20000000000005</v>
      </c>
    </row>
    <row r="41" spans="1:32" ht="15.75">
      <c r="A41" s="3" t="s">
        <v>5</v>
      </c>
      <c r="B41" s="23">
        <f>486.5+178</f>
        <v>664.5</v>
      </c>
      <c r="C41" s="23">
        <v>1.6</v>
      </c>
      <c r="D41" s="23"/>
      <c r="E41" s="23"/>
      <c r="F41" s="23"/>
      <c r="G41" s="23">
        <v>52.2</v>
      </c>
      <c r="H41" s="23"/>
      <c r="I41" s="23"/>
      <c r="J41" s="27">
        <v>106.2</v>
      </c>
      <c r="K41" s="23">
        <v>102.2</v>
      </c>
      <c r="L41" s="23"/>
      <c r="M41" s="23"/>
      <c r="N41" s="23"/>
      <c r="O41" s="28"/>
      <c r="P41" s="23"/>
      <c r="Q41" s="28"/>
      <c r="R41" s="23"/>
      <c r="S41" s="27"/>
      <c r="T41" s="27">
        <v>205.5</v>
      </c>
      <c r="U41" s="27">
        <v>137.5</v>
      </c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603.6</v>
      </c>
      <c r="AE41" s="28">
        <f t="shared" si="8"/>
        <v>62.5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7.6</v>
      </c>
      <c r="C43" s="23">
        <v>0.1</v>
      </c>
      <c r="D43" s="23"/>
      <c r="E43" s="23"/>
      <c r="F43" s="23"/>
      <c r="G43" s="23"/>
      <c r="H43" s="23"/>
      <c r="I43" s="23"/>
      <c r="J43" s="27">
        <v>2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2</v>
      </c>
      <c r="AE43" s="28">
        <f t="shared" si="8"/>
        <v>5.699999999999999</v>
      </c>
    </row>
    <row r="44" spans="1:31" ht="15.75">
      <c r="A44" s="3" t="s">
        <v>2</v>
      </c>
      <c r="B44" s="23">
        <v>7.7</v>
      </c>
      <c r="C44" s="23">
        <v>7.2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>
        <v>0.5</v>
      </c>
      <c r="Q44" s="28">
        <v>1.9</v>
      </c>
      <c r="R44" s="23"/>
      <c r="S44" s="27"/>
      <c r="T44" s="27">
        <v>0.9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3.3</v>
      </c>
      <c r="AE44" s="28">
        <f t="shared" si="8"/>
        <v>11.600000000000001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54.9</v>
      </c>
      <c r="C46" s="23">
        <f t="shared" si="10"/>
        <v>2.8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19.799999999999997</v>
      </c>
      <c r="K46" s="23">
        <f t="shared" si="10"/>
        <v>4.200000000000003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2</v>
      </c>
      <c r="Q46" s="23">
        <f t="shared" si="10"/>
        <v>0.30000000000000027</v>
      </c>
      <c r="R46" s="23">
        <f t="shared" si="10"/>
        <v>0</v>
      </c>
      <c r="S46" s="23">
        <f t="shared" si="10"/>
        <v>0</v>
      </c>
      <c r="T46" s="23">
        <f t="shared" si="10"/>
        <v>0.2999999999999886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26.59999999999999</v>
      </c>
      <c r="AE46" s="28">
        <f>AE40-AE41-AE42-AE43-AE44-AE45</f>
        <v>31.100000000000044</v>
      </c>
    </row>
    <row r="47" spans="1:31" ht="17.25" customHeight="1">
      <c r="A47" s="4" t="s">
        <v>15</v>
      </c>
      <c r="B47" s="37">
        <f>965.5+3.8</f>
        <v>969.3</v>
      </c>
      <c r="C47" s="23">
        <v>1815.7</v>
      </c>
      <c r="D47" s="23"/>
      <c r="E47" s="29"/>
      <c r="F47" s="29"/>
      <c r="G47" s="29">
        <v>38.3</v>
      </c>
      <c r="H47" s="29"/>
      <c r="I47" s="29">
        <v>2</v>
      </c>
      <c r="J47" s="30">
        <v>108.6</v>
      </c>
      <c r="K47" s="29"/>
      <c r="L47" s="29"/>
      <c r="M47" s="29">
        <v>17.1</v>
      </c>
      <c r="N47" s="29">
        <v>106.1</v>
      </c>
      <c r="O47" s="32"/>
      <c r="P47" s="29">
        <v>19.2</v>
      </c>
      <c r="Q47" s="29"/>
      <c r="R47" s="29">
        <v>26.8</v>
      </c>
      <c r="S47" s="30"/>
      <c r="T47" s="30"/>
      <c r="U47" s="29">
        <v>151.1</v>
      </c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469.19999999999993</v>
      </c>
      <c r="AE47" s="28">
        <f>B47+C47-AD47</f>
        <v>2315.8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868.8-4.8</f>
        <v>864</v>
      </c>
      <c r="C49" s="23">
        <v>1636.1</v>
      </c>
      <c r="D49" s="23"/>
      <c r="E49" s="23"/>
      <c r="F49" s="23"/>
      <c r="G49" s="23">
        <v>37.9</v>
      </c>
      <c r="H49" s="23"/>
      <c r="I49" s="23"/>
      <c r="J49" s="27">
        <v>107.8</v>
      </c>
      <c r="K49" s="23"/>
      <c r="L49" s="23"/>
      <c r="M49" s="23">
        <v>17</v>
      </c>
      <c r="N49" s="23">
        <v>106</v>
      </c>
      <c r="O49" s="28"/>
      <c r="P49" s="23"/>
      <c r="Q49" s="23"/>
      <c r="R49" s="23">
        <v>26.6</v>
      </c>
      <c r="S49" s="27"/>
      <c r="T49" s="27"/>
      <c r="U49" s="23">
        <v>127.1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422.4</v>
      </c>
      <c r="AE49" s="28">
        <f>B49+C49-AD49</f>
        <v>2077.7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105.29999999999995</v>
      </c>
      <c r="C51" s="23">
        <f t="shared" si="11"/>
        <v>179.60000000000014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0.3999999999999986</v>
      </c>
      <c r="H51" s="23">
        <f t="shared" si="11"/>
        <v>0</v>
      </c>
      <c r="I51" s="23">
        <f t="shared" si="11"/>
        <v>2</v>
      </c>
      <c r="J51" s="23">
        <f t="shared" si="11"/>
        <v>0.7999999999999972</v>
      </c>
      <c r="K51" s="23">
        <f t="shared" si="11"/>
        <v>0</v>
      </c>
      <c r="L51" s="23">
        <f t="shared" si="11"/>
        <v>0</v>
      </c>
      <c r="M51" s="23">
        <f t="shared" si="11"/>
        <v>0.10000000000000142</v>
      </c>
      <c r="N51" s="23">
        <f t="shared" si="11"/>
        <v>0.09999999999999432</v>
      </c>
      <c r="O51" s="23">
        <f t="shared" si="11"/>
        <v>0</v>
      </c>
      <c r="P51" s="23">
        <f t="shared" si="11"/>
        <v>19.2</v>
      </c>
      <c r="Q51" s="23">
        <f t="shared" si="11"/>
        <v>0</v>
      </c>
      <c r="R51" s="23">
        <f t="shared" si="11"/>
        <v>0.1999999999999993</v>
      </c>
      <c r="S51" s="23">
        <f t="shared" si="11"/>
        <v>0</v>
      </c>
      <c r="T51" s="23">
        <f t="shared" si="11"/>
        <v>0</v>
      </c>
      <c r="U51" s="23">
        <f t="shared" si="11"/>
        <v>24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46.79999999999999</v>
      </c>
      <c r="AE51" s="28">
        <f>AE47-AE49-AE48</f>
        <v>238.10000000000036</v>
      </c>
    </row>
    <row r="52" spans="1:31" ht="15" customHeight="1">
      <c r="A52" s="4" t="s">
        <v>0</v>
      </c>
      <c r="B52" s="23">
        <f>4109+830</f>
        <v>4939</v>
      </c>
      <c r="C52" s="23">
        <v>1181.7</v>
      </c>
      <c r="D52" s="23">
        <v>3000.2</v>
      </c>
      <c r="E52" s="23">
        <v>166.1</v>
      </c>
      <c r="F52" s="23">
        <v>4.9</v>
      </c>
      <c r="G52" s="23">
        <v>20.3</v>
      </c>
      <c r="H52" s="23"/>
      <c r="I52" s="23">
        <v>18.9</v>
      </c>
      <c r="J52" s="27">
        <v>136</v>
      </c>
      <c r="K52" s="23">
        <v>4.8</v>
      </c>
      <c r="L52" s="23"/>
      <c r="M52" s="23">
        <v>19.5</v>
      </c>
      <c r="N52" s="23"/>
      <c r="O52" s="28">
        <v>13.2</v>
      </c>
      <c r="P52" s="23"/>
      <c r="Q52" s="23">
        <v>214.1</v>
      </c>
      <c r="R52" s="23">
        <v>57</v>
      </c>
      <c r="S52" s="27"/>
      <c r="T52" s="27"/>
      <c r="U52" s="27">
        <v>80.4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3735.4</v>
      </c>
      <c r="AE52" s="28">
        <f aca="true" t="shared" si="12" ref="AE52:AE59">B52+C52-AD52</f>
        <v>2385.2999999999997</v>
      </c>
    </row>
    <row r="53" spans="1:31" ht="15" customHeight="1">
      <c r="A53" s="3" t="s">
        <v>2</v>
      </c>
      <c r="B53" s="23">
        <v>414</v>
      </c>
      <c r="C53" s="23">
        <v>464.6</v>
      </c>
      <c r="D53" s="23"/>
      <c r="E53" s="23">
        <v>166.1</v>
      </c>
      <c r="F53" s="23"/>
      <c r="G53" s="23"/>
      <c r="H53" s="23"/>
      <c r="I53" s="23">
        <v>18.9</v>
      </c>
      <c r="J53" s="27"/>
      <c r="K53" s="23"/>
      <c r="L53" s="23"/>
      <c r="M53" s="23">
        <v>16.3</v>
      </c>
      <c r="N53" s="23"/>
      <c r="O53" s="28"/>
      <c r="P53" s="23"/>
      <c r="Q53" s="23"/>
      <c r="R53" s="23">
        <v>57</v>
      </c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258.3</v>
      </c>
      <c r="AE53" s="28">
        <f t="shared" si="12"/>
        <v>620.3</v>
      </c>
    </row>
    <row r="54" spans="1:32" ht="15" customHeight="1">
      <c r="A54" s="4" t="s">
        <v>9</v>
      </c>
      <c r="B54" s="45">
        <f>2434.8+459.6</f>
        <v>2894.4</v>
      </c>
      <c r="C54" s="23">
        <v>1223.2</v>
      </c>
      <c r="D54" s="23"/>
      <c r="E54" s="23">
        <v>541.9</v>
      </c>
      <c r="F54" s="23">
        <v>0.7</v>
      </c>
      <c r="G54" s="23">
        <v>2.1</v>
      </c>
      <c r="H54" s="23"/>
      <c r="I54" s="23"/>
      <c r="J54" s="27">
        <v>352.5</v>
      </c>
      <c r="K54" s="23"/>
      <c r="L54" s="23">
        <v>45.1</v>
      </c>
      <c r="M54" s="23">
        <v>0.2</v>
      </c>
      <c r="N54" s="23">
        <v>1.1</v>
      </c>
      <c r="O54" s="28">
        <v>70.1</v>
      </c>
      <c r="P54" s="23">
        <v>0.2</v>
      </c>
      <c r="Q54" s="28">
        <v>34.5</v>
      </c>
      <c r="R54" s="23"/>
      <c r="S54" s="27">
        <v>1125.2</v>
      </c>
      <c r="T54" s="27">
        <v>77.6</v>
      </c>
      <c r="U54" s="27">
        <v>60.1</v>
      </c>
      <c r="V54" s="23">
        <v>18.5</v>
      </c>
      <c r="W54" s="27">
        <v>38</v>
      </c>
      <c r="X54" s="27"/>
      <c r="Y54" s="27"/>
      <c r="Z54" s="23"/>
      <c r="AA54" s="23"/>
      <c r="AB54" s="23"/>
      <c r="AC54" s="23"/>
      <c r="AD54" s="28">
        <f t="shared" si="9"/>
        <v>2367.8</v>
      </c>
      <c r="AE54" s="23">
        <f t="shared" si="12"/>
        <v>1749.8000000000002</v>
      </c>
      <c r="AF54" s="6"/>
    </row>
    <row r="55" spans="1:32" ht="15.75">
      <c r="A55" s="3" t="s">
        <v>5</v>
      </c>
      <c r="B55" s="23">
        <f>1621+459.6</f>
        <v>2080.6</v>
      </c>
      <c r="C55" s="23">
        <v>525.4</v>
      </c>
      <c r="D55" s="23"/>
      <c r="E55" s="23">
        <v>119.4</v>
      </c>
      <c r="F55" s="23"/>
      <c r="G55" s="23"/>
      <c r="H55" s="23"/>
      <c r="I55" s="23"/>
      <c r="J55" s="27">
        <v>352.5</v>
      </c>
      <c r="K55" s="23"/>
      <c r="L55" s="23"/>
      <c r="M55" s="23"/>
      <c r="N55" s="23"/>
      <c r="O55" s="28"/>
      <c r="P55" s="23"/>
      <c r="Q55" s="28"/>
      <c r="R55" s="23"/>
      <c r="S55" s="27">
        <v>1116.3</v>
      </c>
      <c r="T55" s="27">
        <v>2.5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1590.6999999999998</v>
      </c>
      <c r="AE55" s="23">
        <f t="shared" si="12"/>
        <v>1015.3000000000002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22.9</v>
      </c>
      <c r="C57" s="23">
        <v>357.7</v>
      </c>
      <c r="D57" s="23"/>
      <c r="E57" s="23">
        <v>0.1</v>
      </c>
      <c r="F57" s="23">
        <v>0.1</v>
      </c>
      <c r="G57" s="23"/>
      <c r="H57" s="23"/>
      <c r="I57" s="23"/>
      <c r="J57" s="27"/>
      <c r="K57" s="23"/>
      <c r="L57" s="23">
        <v>2.9</v>
      </c>
      <c r="M57" s="23"/>
      <c r="N57" s="23">
        <v>0.7</v>
      </c>
      <c r="O57" s="28">
        <v>0.1</v>
      </c>
      <c r="P57" s="23"/>
      <c r="Q57" s="28">
        <v>0.2</v>
      </c>
      <c r="R57" s="23"/>
      <c r="S57" s="27">
        <v>0.1</v>
      </c>
      <c r="T57" s="27">
        <v>6.9</v>
      </c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11.1</v>
      </c>
      <c r="AE57" s="23">
        <f t="shared" si="12"/>
        <v>369.49999999999994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790.9000000000002</v>
      </c>
      <c r="C60" s="23">
        <f t="shared" si="13"/>
        <v>320.1000000000001</v>
      </c>
      <c r="D60" s="23">
        <f t="shared" si="13"/>
        <v>0</v>
      </c>
      <c r="E60" s="23">
        <f t="shared" si="13"/>
        <v>422.4</v>
      </c>
      <c r="F60" s="23">
        <f t="shared" si="13"/>
        <v>0.6</v>
      </c>
      <c r="G60" s="23">
        <f t="shared" si="13"/>
        <v>2.1</v>
      </c>
      <c r="H60" s="23">
        <f t="shared" si="13"/>
        <v>0</v>
      </c>
      <c r="I60" s="23">
        <f t="shared" si="13"/>
        <v>0</v>
      </c>
      <c r="J60" s="23">
        <f t="shared" si="13"/>
        <v>0</v>
      </c>
      <c r="K60" s="23">
        <f t="shared" si="13"/>
        <v>0</v>
      </c>
      <c r="L60" s="23">
        <f t="shared" si="13"/>
        <v>42.2</v>
      </c>
      <c r="M60" s="23">
        <f t="shared" si="13"/>
        <v>0.2</v>
      </c>
      <c r="N60" s="23">
        <f t="shared" si="13"/>
        <v>0.40000000000000013</v>
      </c>
      <c r="O60" s="23">
        <f t="shared" si="13"/>
        <v>70</v>
      </c>
      <c r="P60" s="23">
        <f t="shared" si="13"/>
        <v>0.2</v>
      </c>
      <c r="Q60" s="23">
        <f t="shared" si="13"/>
        <v>34.3</v>
      </c>
      <c r="R60" s="23">
        <f t="shared" si="13"/>
        <v>0</v>
      </c>
      <c r="S60" s="23">
        <f t="shared" si="13"/>
        <v>8.800000000000091</v>
      </c>
      <c r="T60" s="23">
        <f t="shared" si="13"/>
        <v>68.19999999999999</v>
      </c>
      <c r="U60" s="23">
        <f t="shared" si="13"/>
        <v>60.1</v>
      </c>
      <c r="V60" s="23">
        <f t="shared" si="13"/>
        <v>18.5</v>
      </c>
      <c r="W60" s="23">
        <f t="shared" si="13"/>
        <v>38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766.0000000000003</v>
      </c>
      <c r="AE60" s="23">
        <f>AE54-AE55-AE57-AE59-AE56-AE58</f>
        <v>345.00000000000006</v>
      </c>
    </row>
    <row r="61" spans="1:31" ht="15" customHeight="1">
      <c r="A61" s="4" t="s">
        <v>10</v>
      </c>
      <c r="B61" s="23">
        <v>63.8</v>
      </c>
      <c r="C61" s="23">
        <v>25.5</v>
      </c>
      <c r="D61" s="23"/>
      <c r="E61" s="23"/>
      <c r="F61" s="23">
        <v>11</v>
      </c>
      <c r="G61" s="23"/>
      <c r="H61" s="23"/>
      <c r="I61" s="23"/>
      <c r="J61" s="27"/>
      <c r="K61" s="23"/>
      <c r="L61" s="23"/>
      <c r="M61" s="23">
        <v>3.6</v>
      </c>
      <c r="N61" s="23"/>
      <c r="O61" s="28"/>
      <c r="P61" s="23"/>
      <c r="Q61" s="28"/>
      <c r="R61" s="23"/>
      <c r="S61" s="27"/>
      <c r="T61" s="27"/>
      <c r="U61" s="27">
        <v>29</v>
      </c>
      <c r="V61" s="23">
        <v>1</v>
      </c>
      <c r="W61" s="27">
        <v>5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39.699999999999996</v>
      </c>
    </row>
    <row r="62" spans="1:31" ht="15" customHeight="1">
      <c r="A62" s="4" t="s">
        <v>11</v>
      </c>
      <c r="B62" s="23">
        <f>730+83.6</f>
        <v>813.6</v>
      </c>
      <c r="C62" s="23">
        <v>637</v>
      </c>
      <c r="D62" s="23"/>
      <c r="E62" s="23"/>
      <c r="F62" s="23"/>
      <c r="G62" s="23">
        <v>18.4</v>
      </c>
      <c r="H62" s="23"/>
      <c r="I62" s="23"/>
      <c r="J62" s="27">
        <v>219.2</v>
      </c>
      <c r="K62" s="23">
        <v>53.5</v>
      </c>
      <c r="L62" s="23"/>
      <c r="M62" s="23">
        <v>6</v>
      </c>
      <c r="N62" s="23">
        <v>15.6</v>
      </c>
      <c r="O62" s="28"/>
      <c r="P62" s="23"/>
      <c r="Q62" s="28">
        <v>8.3</v>
      </c>
      <c r="R62" s="23">
        <v>326.2</v>
      </c>
      <c r="S62" s="27">
        <v>64.5</v>
      </c>
      <c r="T62" s="27">
        <v>19.7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731.4000000000001</v>
      </c>
      <c r="AE62" s="23">
        <f t="shared" si="15"/>
        <v>719.1999999999998</v>
      </c>
    </row>
    <row r="63" spans="1:32" ht="15.75">
      <c r="A63" s="3" t="s">
        <v>5</v>
      </c>
      <c r="B63" s="23">
        <f>457.4+83.6</f>
        <v>541</v>
      </c>
      <c r="C63" s="23">
        <v>50.5</v>
      </c>
      <c r="D63" s="23"/>
      <c r="E63" s="23"/>
      <c r="F63" s="23"/>
      <c r="G63" s="23"/>
      <c r="H63" s="23"/>
      <c r="I63" s="23"/>
      <c r="J63" s="27">
        <v>219.2</v>
      </c>
      <c r="K63" s="23"/>
      <c r="L63" s="23"/>
      <c r="M63" s="23"/>
      <c r="N63" s="23"/>
      <c r="O63" s="28"/>
      <c r="P63" s="23"/>
      <c r="Q63" s="28"/>
      <c r="R63" s="23">
        <v>320.5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539.7</v>
      </c>
      <c r="AE63" s="23">
        <f t="shared" si="15"/>
        <v>51.799999999999955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11.2</v>
      </c>
      <c r="C65" s="23">
        <v>27.8</v>
      </c>
      <c r="D65" s="23"/>
      <c r="E65" s="23"/>
      <c r="F65" s="23"/>
      <c r="G65" s="23"/>
      <c r="H65" s="23"/>
      <c r="I65" s="23"/>
      <c r="J65" s="27"/>
      <c r="K65" s="23"/>
      <c r="L65" s="23"/>
      <c r="M65" s="23">
        <v>2.3</v>
      </c>
      <c r="N65" s="23"/>
      <c r="O65" s="28"/>
      <c r="P65" s="23"/>
      <c r="Q65" s="28"/>
      <c r="R65" s="23"/>
      <c r="S65" s="27"/>
      <c r="T65" s="27">
        <v>3.8</v>
      </c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6.1</v>
      </c>
      <c r="AE65" s="23">
        <f t="shared" si="15"/>
        <v>32.9</v>
      </c>
      <c r="AF65" s="6"/>
    </row>
    <row r="66" spans="1:31" ht="15.75">
      <c r="A66" s="3" t="s">
        <v>2</v>
      </c>
      <c r="B66" s="23">
        <v>10.3</v>
      </c>
      <c r="C66" s="23">
        <v>13.8</v>
      </c>
      <c r="D66" s="23"/>
      <c r="E66" s="23"/>
      <c r="F66" s="23"/>
      <c r="G66" s="23"/>
      <c r="H66" s="23"/>
      <c r="I66" s="23"/>
      <c r="J66" s="27"/>
      <c r="K66" s="23"/>
      <c r="L66" s="23"/>
      <c r="M66" s="23">
        <v>1.4</v>
      </c>
      <c r="N66" s="23"/>
      <c r="O66" s="28"/>
      <c r="P66" s="23"/>
      <c r="Q66" s="23">
        <v>0.3</v>
      </c>
      <c r="R66" s="23">
        <v>5.7</v>
      </c>
      <c r="S66" s="27">
        <v>0.1</v>
      </c>
      <c r="T66" s="27">
        <v>0.9</v>
      </c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8.4</v>
      </c>
      <c r="AE66" s="23">
        <f t="shared" si="15"/>
        <v>15.700000000000001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251.10000000000002</v>
      </c>
      <c r="C68" s="23">
        <f t="shared" si="16"/>
        <v>544.9000000000001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18.4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53.5</v>
      </c>
      <c r="L68" s="23">
        <f t="shared" si="16"/>
        <v>0</v>
      </c>
      <c r="M68" s="23">
        <f t="shared" si="16"/>
        <v>2.3</v>
      </c>
      <c r="N68" s="23">
        <f t="shared" si="16"/>
        <v>15.6</v>
      </c>
      <c r="O68" s="23">
        <f t="shared" si="16"/>
        <v>0</v>
      </c>
      <c r="P68" s="23">
        <f t="shared" si="16"/>
        <v>0</v>
      </c>
      <c r="Q68" s="23">
        <f t="shared" si="16"/>
        <v>8</v>
      </c>
      <c r="R68" s="23">
        <f t="shared" si="16"/>
        <v>-1.1546319456101628E-14</v>
      </c>
      <c r="S68" s="23">
        <f t="shared" si="16"/>
        <v>64.4</v>
      </c>
      <c r="T68" s="23">
        <f t="shared" si="16"/>
        <v>15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177.2</v>
      </c>
      <c r="AE68" s="23">
        <f>AE62-AE63-AE66-AE67-AE65-AE64</f>
        <v>618.7999999999998</v>
      </c>
    </row>
    <row r="69" spans="1:31" ht="31.5">
      <c r="A69" s="4" t="s">
        <v>33</v>
      </c>
      <c r="B69" s="23">
        <v>5</v>
      </c>
      <c r="C69" s="23">
        <v>225.5</v>
      </c>
      <c r="D69" s="23"/>
      <c r="E69" s="23"/>
      <c r="F69" s="23"/>
      <c r="G69" s="23"/>
      <c r="H69" s="23">
        <v>0.7</v>
      </c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0.7</v>
      </c>
      <c r="AE69" s="31">
        <f aca="true" t="shared" si="17" ref="AE69:AE91">B69+C69-AD69</f>
        <v>229.8</v>
      </c>
    </row>
    <row r="70" spans="1:31" ht="15.75">
      <c r="A70" s="4" t="s">
        <v>42</v>
      </c>
      <c r="B70" s="23">
        <v>5.7</v>
      </c>
      <c r="C70" s="23">
        <v>3.6</v>
      </c>
      <c r="D70" s="23">
        <v>2.7</v>
      </c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8.2</v>
      </c>
      <c r="AE70" s="31">
        <f t="shared" si="17"/>
        <v>1.1000000000000014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835.1+28.2</f>
        <v>863.3000000000001</v>
      </c>
      <c r="C72" s="23">
        <v>2483.6</v>
      </c>
      <c r="D72" s="23">
        <v>10.6</v>
      </c>
      <c r="E72" s="23">
        <v>24.4</v>
      </c>
      <c r="F72" s="23">
        <v>35.7</v>
      </c>
      <c r="G72" s="23">
        <v>6.9</v>
      </c>
      <c r="H72" s="23">
        <v>8.4</v>
      </c>
      <c r="I72" s="23">
        <v>16.6</v>
      </c>
      <c r="J72" s="27">
        <v>578.6</v>
      </c>
      <c r="K72" s="23">
        <v>13.9</v>
      </c>
      <c r="L72" s="23"/>
      <c r="M72" s="23">
        <v>7.7</v>
      </c>
      <c r="N72" s="23">
        <v>1.1</v>
      </c>
      <c r="O72" s="23"/>
      <c r="P72" s="23">
        <v>59.9</v>
      </c>
      <c r="Q72" s="28">
        <v>2.1</v>
      </c>
      <c r="R72" s="23"/>
      <c r="S72" s="27"/>
      <c r="T72" s="27">
        <v>4.6</v>
      </c>
      <c r="U72" s="27">
        <v>123.6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894.1000000000001</v>
      </c>
      <c r="AE72" s="31">
        <f t="shared" si="17"/>
        <v>2452.8</v>
      </c>
    </row>
    <row r="73" spans="1:31" ht="15" customHeight="1">
      <c r="A73" s="3" t="s">
        <v>5</v>
      </c>
      <c r="B73" s="23">
        <v>0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0.1</v>
      </c>
    </row>
    <row r="74" spans="1:31" ht="15" customHeight="1">
      <c r="A74" s="3" t="s">
        <v>2</v>
      </c>
      <c r="B74" s="23">
        <v>23.1</v>
      </c>
      <c r="C74" s="23">
        <v>96.6</v>
      </c>
      <c r="D74" s="23"/>
      <c r="E74" s="23">
        <v>19.9</v>
      </c>
      <c r="F74" s="23"/>
      <c r="G74" s="23"/>
      <c r="H74" s="23"/>
      <c r="I74" s="23">
        <v>0.1</v>
      </c>
      <c r="J74" s="27"/>
      <c r="K74" s="23">
        <v>8.5</v>
      </c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28.5</v>
      </c>
      <c r="AE74" s="31">
        <f t="shared" si="17"/>
        <v>91.19999999999999</v>
      </c>
    </row>
    <row r="75" spans="1:31" s="11" customFormat="1" ht="31.5">
      <c r="A75" s="12" t="s">
        <v>21</v>
      </c>
      <c r="B75" s="23">
        <f>82.6</f>
        <v>82.6</v>
      </c>
      <c r="C75" s="23">
        <v>513.4</v>
      </c>
      <c r="D75" s="23"/>
      <c r="E75" s="29"/>
      <c r="F75" s="29"/>
      <c r="G75" s="29"/>
      <c r="H75" s="29"/>
      <c r="I75" s="29"/>
      <c r="J75" s="30">
        <v>30.8</v>
      </c>
      <c r="K75" s="29"/>
      <c r="L75" s="29"/>
      <c r="M75" s="29"/>
      <c r="N75" s="29"/>
      <c r="O75" s="29"/>
      <c r="P75" s="29"/>
      <c r="Q75" s="32">
        <v>0.1</v>
      </c>
      <c r="R75" s="29"/>
      <c r="S75" s="30"/>
      <c r="T75" s="30">
        <v>48.5</v>
      </c>
      <c r="U75" s="29">
        <v>0.4</v>
      </c>
      <c r="V75" s="30">
        <v>70.5</v>
      </c>
      <c r="W75" s="30"/>
      <c r="X75" s="30"/>
      <c r="Y75" s="30"/>
      <c r="Z75" s="29"/>
      <c r="AA75" s="29"/>
      <c r="AB75" s="29"/>
      <c r="AC75" s="29"/>
      <c r="AD75" s="28">
        <f t="shared" si="14"/>
        <v>150.3</v>
      </c>
      <c r="AE75" s="31">
        <f t="shared" si="17"/>
        <v>445.7</v>
      </c>
    </row>
    <row r="76" spans="1:31" s="11" customFormat="1" ht="15.75">
      <c r="A76" s="3" t="s">
        <v>5</v>
      </c>
      <c r="B76" s="23">
        <f>68.8+0.4</f>
        <v>69.2</v>
      </c>
      <c r="C76" s="23">
        <v>5.9</v>
      </c>
      <c r="D76" s="23"/>
      <c r="E76" s="29"/>
      <c r="F76" s="29"/>
      <c r="G76" s="29"/>
      <c r="H76" s="29"/>
      <c r="I76" s="29"/>
      <c r="J76" s="30">
        <v>26.2</v>
      </c>
      <c r="K76" s="29"/>
      <c r="L76" s="29"/>
      <c r="M76" s="29"/>
      <c r="N76" s="29"/>
      <c r="O76" s="29"/>
      <c r="P76" s="29"/>
      <c r="Q76" s="32"/>
      <c r="R76" s="29"/>
      <c r="S76" s="30"/>
      <c r="T76" s="30">
        <v>48.5</v>
      </c>
      <c r="U76" s="29">
        <v>0.4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75.10000000000001</v>
      </c>
      <c r="AE76" s="31">
        <f t="shared" si="17"/>
        <v>0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>
        <v>70</v>
      </c>
      <c r="W77" s="30"/>
      <c r="X77" s="30"/>
      <c r="Y77" s="30"/>
      <c r="Z77" s="29"/>
      <c r="AA77" s="29"/>
      <c r="AB77" s="29"/>
      <c r="AC77" s="29"/>
      <c r="AD77" s="28">
        <f t="shared" si="14"/>
        <v>70</v>
      </c>
      <c r="AE77" s="31">
        <f t="shared" si="17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/>
      <c r="H79" s="29"/>
      <c r="I79" s="29"/>
      <c r="J79" s="30">
        <v>0.4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0.19999999999999996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>
      <c r="A81" s="12" t="s">
        <v>73</v>
      </c>
      <c r="B81" s="23">
        <v>427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427</v>
      </c>
    </row>
    <row r="82" spans="1:31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1047.3</v>
      </c>
      <c r="C87" s="23">
        <v>7.3</v>
      </c>
      <c r="D87" s="23">
        <v>286.9</v>
      </c>
      <c r="E87" s="23">
        <v>158.5</v>
      </c>
      <c r="F87" s="23"/>
      <c r="G87" s="23"/>
      <c r="H87" s="23"/>
      <c r="I87" s="23"/>
      <c r="J87" s="23"/>
      <c r="K87" s="23"/>
      <c r="L87" s="23"/>
      <c r="M87" s="23"/>
      <c r="N87" s="23"/>
      <c r="O87" s="23">
        <v>66.9</v>
      </c>
      <c r="P87" s="23"/>
      <c r="Q87" s="23"/>
      <c r="R87" s="23">
        <v>234.3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746.5999999999999</v>
      </c>
      <c r="AE87" s="23">
        <f t="shared" si="17"/>
        <v>308</v>
      </c>
      <c r="AF87" s="11"/>
    </row>
    <row r="88" spans="1:32" ht="15.75">
      <c r="A88" s="4" t="s">
        <v>54</v>
      </c>
      <c r="B88" s="23">
        <f>350+1900</f>
        <v>2250</v>
      </c>
      <c r="C88" s="23">
        <v>1567.1</v>
      </c>
      <c r="D88" s="23"/>
      <c r="E88" s="23"/>
      <c r="F88" s="23">
        <v>170.1</v>
      </c>
      <c r="G88" s="23"/>
      <c r="H88" s="23"/>
      <c r="I88" s="23"/>
      <c r="J88" s="23"/>
      <c r="K88" s="23"/>
      <c r="L88" s="23"/>
      <c r="M88" s="23">
        <v>140.9</v>
      </c>
      <c r="N88" s="23"/>
      <c r="O88" s="23">
        <v>637.5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948.5</v>
      </c>
      <c r="AE88" s="23">
        <f t="shared" si="17"/>
        <v>2868.6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1236.8</v>
      </c>
      <c r="AE89" s="23">
        <f t="shared" si="17"/>
        <v>618.5</v>
      </c>
      <c r="AF89" s="11"/>
    </row>
    <row r="90" spans="1:32" ht="15.75">
      <c r="A90" s="4" t="s">
        <v>29</v>
      </c>
      <c r="B90" s="23">
        <v>127.1</v>
      </c>
      <c r="C90" s="23">
        <v>57.9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185</v>
      </c>
      <c r="AF90" s="11"/>
    </row>
    <row r="91" spans="1:32" ht="15.75">
      <c r="A91" s="4" t="s">
        <v>53</v>
      </c>
      <c r="B91" s="23">
        <f>7675.8+6122.7-50</f>
        <v>13748.5</v>
      </c>
      <c r="C91" s="23">
        <v>0</v>
      </c>
      <c r="D91" s="23"/>
      <c r="E91" s="23"/>
      <c r="F91" s="23"/>
      <c r="G91" s="23"/>
      <c r="H91" s="23"/>
      <c r="I91" s="23"/>
      <c r="J91" s="23"/>
      <c r="K91" s="23">
        <v>13748.5</v>
      </c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13748.5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78905.3</v>
      </c>
      <c r="C93" s="43">
        <f t="shared" si="18"/>
        <v>27678.800000000003</v>
      </c>
      <c r="D93" s="43">
        <f t="shared" si="18"/>
        <v>3486.5999999999995</v>
      </c>
      <c r="E93" s="43">
        <f t="shared" si="18"/>
        <v>1048.6</v>
      </c>
      <c r="F93" s="43">
        <f t="shared" si="18"/>
        <v>5730.7</v>
      </c>
      <c r="G93" s="43">
        <f t="shared" si="18"/>
        <v>166.39999999999998</v>
      </c>
      <c r="H93" s="43">
        <f t="shared" si="18"/>
        <v>74.60000000000001</v>
      </c>
      <c r="I93" s="43">
        <f t="shared" si="18"/>
        <v>1380.6</v>
      </c>
      <c r="J93" s="43">
        <f t="shared" si="18"/>
        <v>12521.1</v>
      </c>
      <c r="K93" s="43">
        <f t="shared" si="18"/>
        <v>14728.2</v>
      </c>
      <c r="L93" s="43">
        <f t="shared" si="18"/>
        <v>566.4</v>
      </c>
      <c r="M93" s="43">
        <f t="shared" si="18"/>
        <v>2890.7000000000003</v>
      </c>
      <c r="N93" s="43">
        <f t="shared" si="18"/>
        <v>201.19999999999996</v>
      </c>
      <c r="O93" s="43">
        <f t="shared" si="18"/>
        <v>1310</v>
      </c>
      <c r="P93" s="43">
        <f t="shared" si="18"/>
        <v>113.30000000000001</v>
      </c>
      <c r="Q93" s="43">
        <f t="shared" si="18"/>
        <v>1038.8</v>
      </c>
      <c r="R93" s="43">
        <f t="shared" si="18"/>
        <v>785.7</v>
      </c>
      <c r="S93" s="43">
        <f t="shared" si="18"/>
        <v>1485.7</v>
      </c>
      <c r="T93" s="43">
        <f t="shared" si="18"/>
        <v>12627.000000000002</v>
      </c>
      <c r="U93" s="43">
        <f t="shared" si="18"/>
        <v>12489.8</v>
      </c>
      <c r="V93" s="43">
        <f t="shared" si="18"/>
        <v>208.8</v>
      </c>
      <c r="W93" s="43">
        <f t="shared" si="18"/>
        <v>254.3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73108.5</v>
      </c>
      <c r="AE93" s="59">
        <f>AE10+AE15+AE24+AE33+AE47+AE52+AE54+AE61+AE62+AE69+AE71+AE72+AE75+AE80+AE81+AE82+AE87+AE88+AE89+AE90+AE70+AE40+AE91</f>
        <v>33475.6</v>
      </c>
    </row>
    <row r="94" spans="1:31" ht="15.75">
      <c r="A94" s="3" t="s">
        <v>5</v>
      </c>
      <c r="B94" s="23">
        <f aca="true" t="shared" si="19" ref="B94:AB94">B11+B17+B26+B34+B55+B63+B73+B41+B76</f>
        <v>44167.700000000004</v>
      </c>
      <c r="C94" s="23">
        <f t="shared" si="19"/>
        <v>2686.1</v>
      </c>
      <c r="D94" s="23">
        <f t="shared" si="19"/>
        <v>181.2</v>
      </c>
      <c r="E94" s="23">
        <f t="shared" si="19"/>
        <v>148.4</v>
      </c>
      <c r="F94" s="23">
        <f t="shared" si="19"/>
        <v>5206.099999999999</v>
      </c>
      <c r="G94" s="23">
        <f t="shared" si="19"/>
        <v>52.2</v>
      </c>
      <c r="H94" s="23">
        <f t="shared" si="19"/>
        <v>0</v>
      </c>
      <c r="I94" s="23">
        <f t="shared" si="19"/>
        <v>0</v>
      </c>
      <c r="J94" s="23">
        <f t="shared" si="19"/>
        <v>11469.900000000001</v>
      </c>
      <c r="K94" s="23">
        <f t="shared" si="19"/>
        <v>745.8000000000001</v>
      </c>
      <c r="L94" s="23">
        <f t="shared" si="19"/>
        <v>118.7</v>
      </c>
      <c r="M94" s="23">
        <f t="shared" si="19"/>
        <v>11</v>
      </c>
      <c r="N94" s="23">
        <f t="shared" si="19"/>
        <v>0</v>
      </c>
      <c r="O94" s="23">
        <f t="shared" si="19"/>
        <v>5.8</v>
      </c>
      <c r="P94" s="23">
        <f t="shared" si="19"/>
        <v>7.6</v>
      </c>
      <c r="Q94" s="23">
        <f t="shared" si="19"/>
        <v>14</v>
      </c>
      <c r="R94" s="23">
        <f t="shared" si="19"/>
        <v>426.1</v>
      </c>
      <c r="S94" s="23">
        <f t="shared" si="19"/>
        <v>1304.8999999999999</v>
      </c>
      <c r="T94" s="23">
        <f t="shared" si="19"/>
        <v>12519.199999999999</v>
      </c>
      <c r="U94" s="23">
        <f t="shared" si="19"/>
        <v>10795.7</v>
      </c>
      <c r="V94" s="23">
        <f t="shared" si="19"/>
        <v>10.8</v>
      </c>
      <c r="W94" s="23">
        <f t="shared" si="19"/>
        <v>4.6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43022.00000000001</v>
      </c>
      <c r="AE94" s="28">
        <f>B94+C94-AD94</f>
        <v>3831.7999999999956</v>
      </c>
    </row>
    <row r="95" spans="1:31" ht="15.75">
      <c r="A95" s="3" t="s">
        <v>2</v>
      </c>
      <c r="B95" s="23">
        <f aca="true" t="shared" si="20" ref="B95:AB95">B12+B20+B29+B36+B57+B66+B44+B79+B74+B53</f>
        <v>1975.6999999999998</v>
      </c>
      <c r="C95" s="23">
        <f t="shared" si="20"/>
        <v>8232.7</v>
      </c>
      <c r="D95" s="23">
        <f t="shared" si="20"/>
        <v>0</v>
      </c>
      <c r="E95" s="23">
        <f t="shared" si="20"/>
        <v>196.29999999999998</v>
      </c>
      <c r="F95" s="23">
        <f t="shared" si="20"/>
        <v>18.5</v>
      </c>
      <c r="G95" s="23">
        <f t="shared" si="20"/>
        <v>3</v>
      </c>
      <c r="H95" s="23">
        <f t="shared" si="20"/>
        <v>8</v>
      </c>
      <c r="I95" s="23">
        <f t="shared" si="20"/>
        <v>256.6</v>
      </c>
      <c r="J95" s="23">
        <f t="shared" si="20"/>
        <v>47.3</v>
      </c>
      <c r="K95" s="23">
        <f t="shared" si="20"/>
        <v>27.1</v>
      </c>
      <c r="L95" s="23">
        <f t="shared" si="20"/>
        <v>6.4</v>
      </c>
      <c r="M95" s="23">
        <f t="shared" si="20"/>
        <v>31.1</v>
      </c>
      <c r="N95" s="23">
        <f t="shared" si="20"/>
        <v>5</v>
      </c>
      <c r="O95" s="23">
        <f t="shared" si="20"/>
        <v>308.20000000000005</v>
      </c>
      <c r="P95" s="23">
        <f t="shared" si="20"/>
        <v>1.5</v>
      </c>
      <c r="Q95" s="23">
        <f t="shared" si="20"/>
        <v>20.5</v>
      </c>
      <c r="R95" s="23">
        <f t="shared" si="20"/>
        <v>62.7</v>
      </c>
      <c r="S95" s="23">
        <f t="shared" si="20"/>
        <v>18.500000000000004</v>
      </c>
      <c r="T95" s="23">
        <f t="shared" si="20"/>
        <v>9.9</v>
      </c>
      <c r="U95" s="23">
        <f t="shared" si="20"/>
        <v>343.29999999999995</v>
      </c>
      <c r="V95" s="23">
        <f t="shared" si="20"/>
        <v>42.8</v>
      </c>
      <c r="W95" s="23">
        <f t="shared" si="20"/>
        <v>6.6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1413.3</v>
      </c>
      <c r="AE95" s="28">
        <f>B95+C95-AD95</f>
        <v>8795.100000000002</v>
      </c>
    </row>
    <row r="96" spans="1:31" ht="15.75">
      <c r="A96" s="3" t="s">
        <v>3</v>
      </c>
      <c r="B96" s="23">
        <f aca="true" t="shared" si="21" ref="B96:Y96">B18+B27+B42+B64+B77</f>
        <v>1227.3999999999999</v>
      </c>
      <c r="C96" s="23">
        <f t="shared" si="21"/>
        <v>2007</v>
      </c>
      <c r="D96" s="23">
        <f t="shared" si="21"/>
        <v>4.2</v>
      </c>
      <c r="E96" s="23">
        <f t="shared" si="21"/>
        <v>5.4</v>
      </c>
      <c r="F96" s="23">
        <f t="shared" si="21"/>
        <v>0.5</v>
      </c>
      <c r="G96" s="23">
        <f t="shared" si="21"/>
        <v>0</v>
      </c>
      <c r="H96" s="23">
        <f t="shared" si="21"/>
        <v>0</v>
      </c>
      <c r="I96" s="23">
        <f t="shared" si="21"/>
        <v>219.1</v>
      </c>
      <c r="J96" s="23">
        <f t="shared" si="21"/>
        <v>48</v>
      </c>
      <c r="K96" s="23">
        <f t="shared" si="21"/>
        <v>0</v>
      </c>
      <c r="L96" s="23">
        <f t="shared" si="21"/>
        <v>0</v>
      </c>
      <c r="M96" s="23">
        <f t="shared" si="21"/>
        <v>346.4</v>
      </c>
      <c r="N96" s="23">
        <f t="shared" si="21"/>
        <v>0</v>
      </c>
      <c r="O96" s="23">
        <f t="shared" si="21"/>
        <v>68.5</v>
      </c>
      <c r="P96" s="23">
        <f t="shared" si="21"/>
        <v>0</v>
      </c>
      <c r="Q96" s="23">
        <f t="shared" si="21"/>
        <v>0.4</v>
      </c>
      <c r="R96" s="23">
        <f t="shared" si="21"/>
        <v>0</v>
      </c>
      <c r="S96" s="23">
        <f t="shared" si="21"/>
        <v>0</v>
      </c>
      <c r="T96" s="23">
        <f t="shared" si="21"/>
        <v>0</v>
      </c>
      <c r="U96" s="23">
        <f t="shared" si="21"/>
        <v>462.1</v>
      </c>
      <c r="V96" s="23">
        <f t="shared" si="21"/>
        <v>70</v>
      </c>
      <c r="W96" s="23">
        <f t="shared" si="21"/>
        <v>183.9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1408.5</v>
      </c>
      <c r="AE96" s="28">
        <f>B96+C96-AD96</f>
        <v>1825.8999999999996</v>
      </c>
    </row>
    <row r="97" spans="1:31" ht="15.75">
      <c r="A97" s="3" t="s">
        <v>1</v>
      </c>
      <c r="B97" s="23">
        <f aca="true" t="shared" si="22" ref="B97:Y97">B19+B28+B65+B35+B43+B56+B48+B78</f>
        <v>1256.6999999999998</v>
      </c>
      <c r="C97" s="23">
        <f t="shared" si="22"/>
        <v>1993.1</v>
      </c>
      <c r="D97" s="23">
        <f t="shared" si="22"/>
        <v>0.8</v>
      </c>
      <c r="E97" s="23">
        <f t="shared" si="22"/>
        <v>10.9</v>
      </c>
      <c r="F97" s="23">
        <f t="shared" si="22"/>
        <v>204.7</v>
      </c>
      <c r="G97" s="23">
        <f t="shared" si="22"/>
        <v>0</v>
      </c>
      <c r="H97" s="23">
        <f t="shared" si="22"/>
        <v>6.9</v>
      </c>
      <c r="I97" s="23">
        <f t="shared" si="22"/>
        <v>110.8</v>
      </c>
      <c r="J97" s="23">
        <f t="shared" si="22"/>
        <v>50.1</v>
      </c>
      <c r="K97" s="23">
        <f t="shared" si="22"/>
        <v>4</v>
      </c>
      <c r="L97" s="23">
        <f t="shared" si="22"/>
        <v>186.5</v>
      </c>
      <c r="M97" s="23">
        <f t="shared" si="22"/>
        <v>154</v>
      </c>
      <c r="N97" s="23">
        <f t="shared" si="22"/>
        <v>37.6</v>
      </c>
      <c r="O97" s="23">
        <f t="shared" si="22"/>
        <v>43.6</v>
      </c>
      <c r="P97" s="23">
        <f t="shared" si="22"/>
        <v>0</v>
      </c>
      <c r="Q97" s="23">
        <f t="shared" si="22"/>
        <v>0</v>
      </c>
      <c r="R97" s="23">
        <f t="shared" si="22"/>
        <v>0</v>
      </c>
      <c r="S97" s="23">
        <f t="shared" si="22"/>
        <v>4.8</v>
      </c>
      <c r="T97" s="23">
        <f t="shared" si="22"/>
        <v>3.8</v>
      </c>
      <c r="U97" s="23">
        <f t="shared" si="22"/>
        <v>225.2</v>
      </c>
      <c r="V97" s="23">
        <f t="shared" si="22"/>
        <v>32.5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1076.2</v>
      </c>
      <c r="AE97" s="28">
        <f>B97+C97-AD97</f>
        <v>2173.5999999999995</v>
      </c>
    </row>
    <row r="98" spans="1:31" ht="15.75">
      <c r="A98" s="3" t="s">
        <v>17</v>
      </c>
      <c r="B98" s="23">
        <f aca="true" t="shared" si="23" ref="B98:AB98">B21+B30+B49+B37+B58+B13</f>
        <v>989.6</v>
      </c>
      <c r="C98" s="23">
        <f t="shared" si="23"/>
        <v>3006.8999999999996</v>
      </c>
      <c r="D98" s="23">
        <f t="shared" si="23"/>
        <v>0</v>
      </c>
      <c r="E98" s="23">
        <f t="shared" si="23"/>
        <v>0</v>
      </c>
      <c r="F98" s="23">
        <f t="shared" si="23"/>
        <v>1.2</v>
      </c>
      <c r="G98" s="23">
        <f t="shared" si="23"/>
        <v>37.9</v>
      </c>
      <c r="H98" s="23">
        <f t="shared" si="23"/>
        <v>0</v>
      </c>
      <c r="I98" s="23">
        <f t="shared" si="23"/>
        <v>0</v>
      </c>
      <c r="J98" s="23">
        <f t="shared" si="23"/>
        <v>107.8</v>
      </c>
      <c r="K98" s="23">
        <f t="shared" si="23"/>
        <v>78.8</v>
      </c>
      <c r="L98" s="23">
        <f t="shared" si="23"/>
        <v>168.2</v>
      </c>
      <c r="M98" s="23">
        <f t="shared" si="23"/>
        <v>44.8</v>
      </c>
      <c r="N98" s="23">
        <f t="shared" si="23"/>
        <v>106</v>
      </c>
      <c r="O98" s="23">
        <f t="shared" si="23"/>
        <v>9.1</v>
      </c>
      <c r="P98" s="23">
        <f t="shared" si="23"/>
        <v>0</v>
      </c>
      <c r="Q98" s="23">
        <f t="shared" si="23"/>
        <v>0</v>
      </c>
      <c r="R98" s="23">
        <f t="shared" si="23"/>
        <v>26.6</v>
      </c>
      <c r="S98" s="23">
        <f t="shared" si="23"/>
        <v>0</v>
      </c>
      <c r="T98" s="23">
        <f t="shared" si="23"/>
        <v>0</v>
      </c>
      <c r="U98" s="23">
        <f t="shared" si="23"/>
        <v>127.1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707.5000000000001</v>
      </c>
      <c r="AE98" s="28">
        <f>B98+C98-AD98</f>
        <v>3288.9999999999995</v>
      </c>
    </row>
    <row r="99" spans="1:31" ht="12.75">
      <c r="A99" s="1" t="s">
        <v>47</v>
      </c>
      <c r="B99" s="2">
        <f aca="true" t="shared" si="24" ref="B99:AB99">B93-B94-B95-B96-B97-B98</f>
        <v>29288.199999999997</v>
      </c>
      <c r="C99" s="2">
        <f t="shared" si="24"/>
        <v>9753.000000000004</v>
      </c>
      <c r="D99" s="2">
        <f t="shared" si="24"/>
        <v>3300.3999999999996</v>
      </c>
      <c r="E99" s="2">
        <f t="shared" si="24"/>
        <v>687.6</v>
      </c>
      <c r="F99" s="2">
        <f t="shared" si="24"/>
        <v>299.7000000000004</v>
      </c>
      <c r="G99" s="2">
        <f t="shared" si="24"/>
        <v>73.29999999999998</v>
      </c>
      <c r="H99" s="2">
        <f t="shared" si="24"/>
        <v>59.70000000000001</v>
      </c>
      <c r="I99" s="2">
        <f t="shared" si="24"/>
        <v>794.1</v>
      </c>
      <c r="J99" s="2">
        <f t="shared" si="24"/>
        <v>797.999999999999</v>
      </c>
      <c r="K99" s="2">
        <f t="shared" si="24"/>
        <v>13872.500000000002</v>
      </c>
      <c r="L99" s="2">
        <f t="shared" si="24"/>
        <v>86.60000000000002</v>
      </c>
      <c r="M99" s="2">
        <f t="shared" si="24"/>
        <v>2303.4</v>
      </c>
      <c r="N99" s="2">
        <f t="shared" si="24"/>
        <v>52.599999999999966</v>
      </c>
      <c r="O99" s="2">
        <f t="shared" si="24"/>
        <v>874.8</v>
      </c>
      <c r="P99" s="2">
        <f t="shared" si="24"/>
        <v>104.20000000000002</v>
      </c>
      <c r="Q99" s="2">
        <f t="shared" si="24"/>
        <v>1003.9</v>
      </c>
      <c r="R99" s="2">
        <f t="shared" si="24"/>
        <v>270.3</v>
      </c>
      <c r="S99" s="2">
        <f t="shared" si="24"/>
        <v>157.50000000000017</v>
      </c>
      <c r="T99" s="2">
        <f t="shared" si="24"/>
        <v>94.10000000000291</v>
      </c>
      <c r="U99" s="2">
        <f t="shared" si="24"/>
        <v>536.3999999999986</v>
      </c>
      <c r="V99" s="2">
        <f t="shared" si="24"/>
        <v>52.69999999999999</v>
      </c>
      <c r="W99" s="2">
        <f t="shared" si="24"/>
        <v>59.20000000000002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25480.999999999993</v>
      </c>
      <c r="AE99" s="2">
        <f>AE93-AE94-AE95-AE96-AE97-AE98</f>
        <v>13560.200000000004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2015-09-08T08:43:02Z</cp:lastPrinted>
  <dcterms:created xsi:type="dcterms:W3CDTF">2002-11-05T08:53:00Z</dcterms:created>
  <dcterms:modified xsi:type="dcterms:W3CDTF">2015-09-10T11:35:10Z</dcterms:modified>
  <cp:category/>
  <cp:version/>
  <cp:contentType/>
  <cp:contentStatus/>
</cp:coreProperties>
</file>